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TFO 2023-24\Final FON Docs\"/>
    </mc:Choice>
  </mc:AlternateContent>
  <xr:revisionPtr revIDLastSave="0" documentId="13_ncr:1_{89D62A02-E7A3-43ED-82B9-BFA350E0A505}" xr6:coauthVersionLast="47" xr6:coauthVersionMax="47" xr10:uidLastSave="{00000000-0000-0000-0000-000000000000}"/>
  <bookViews>
    <workbookView xWindow="28680" yWindow="-120" windowWidth="29040" windowHeight="15840" tabRatio="790" activeTab="1" xr2:uid="{82ACA91B-A77D-4940-8F38-CD6FC57E39F3}"/>
  </bookViews>
  <sheets>
    <sheet name="Table of Contents" sheetId="1" r:id="rId1"/>
    <sheet name="Fall 2023 FON Compliance Form" sheetId="9" r:id="rId2"/>
    <sheet name="Fall 2023 Compliance FON" sheetId="3" r:id="rId3"/>
    <sheet name="Definitions" sheetId="2" r:id="rId4"/>
    <sheet name="Fall 2023 P2 FON Calculation" sheetId="5" r:id="rId5"/>
    <sheet name="FON Estimator" sheetId="4" r:id="rId6"/>
    <sheet name="ReplacementCost" sheetId="8" r:id="rId7"/>
  </sheets>
  <definedNames>
    <definedName name="_Dist_Bin" localSheetId="6" hidden="1">#REF!</definedName>
    <definedName name="_Dist_Bin" hidden="1">#REF!</definedName>
    <definedName name="_Dist_Values" localSheetId="6" hidden="1">#REF!</definedName>
    <definedName name="_Dist_Values" hidden="1">#REF!</definedName>
    <definedName name="_Fill" localSheetId="6" hidden="1">#REF!</definedName>
    <definedName name="_Fill" hidden="1">#REF!</definedName>
    <definedName name="_xlnm._FilterDatabase" localSheetId="4" hidden="1">'Fall 2023 P2 FON Calculation'!$B$6:$K$78</definedName>
    <definedName name="_Sort" hidden="1">#REF!</definedName>
    <definedName name="Fall2022ComplianceFON" comment="Use on Fall 2023 FON Compliance Form">'Fall 2023 Compliance FON'!$B$5:$G$77</definedName>
    <definedName name="Fall2023P2" comment="Use in FON estimator ">'Fall 2023 P2 FON Calculation'!$B$7:$K$78</definedName>
    <definedName name="_xlnm.Print_Area" localSheetId="2">'Fall 2023 Compliance FON'!$A$1:$G$77</definedName>
    <definedName name="_xlnm.Print_Area" localSheetId="1">'Fall 2023 FON Compliance Form'!$B$2:$E$52</definedName>
    <definedName name="_xlnm.Print_Area" localSheetId="4">'Fall 2023 P2 FON Calculation'!$A$1:$K$79</definedName>
    <definedName name="_xlnm.Print_Area" localSheetId="5">'FON Estimator'!$A$1:$D$24</definedName>
    <definedName name="_xlnm.Print_Area" localSheetId="6">ReplacementCost!$A$1:$G$49</definedName>
    <definedName name="_xlnm.Print_Titles" localSheetId="2">'Fall 2023 Compliance FON'!$1:$4</definedName>
    <definedName name="_xlnm.Print_Titles" localSheetId="4">'Fall 2023 P2 FON Calculation'!$1:$6</definedName>
    <definedName name="_xlnm.Print_Titles" localSheetId="6">ReplacementCost!$1:$3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9" l="1"/>
  <c r="E22" i="9"/>
  <c r="E17" i="9" l="1"/>
  <c r="E24" i="9" l="1"/>
  <c r="E26" i="9" s="1"/>
  <c r="C48" i="8"/>
  <c r="G8" i="5" l="1"/>
  <c r="B18" i="8"/>
  <c r="B24" i="8"/>
  <c r="G41" i="8"/>
  <c r="G42" i="8"/>
  <c r="G43" i="8"/>
  <c r="G44" i="8"/>
  <c r="G45" i="8"/>
  <c r="G46" i="8"/>
  <c r="B19" i="8" l="1"/>
  <c r="D48" i="8"/>
  <c r="B27" i="8"/>
  <c r="E48" i="8"/>
  <c r="B29" i="8"/>
  <c r="B28" i="8"/>
  <c r="B30" i="8"/>
  <c r="B31" i="8" l="1"/>
  <c r="F48" i="8" s="1"/>
  <c r="G48" i="8" s="1"/>
  <c r="G47" i="8"/>
  <c r="B33" i="8" l="1"/>
  <c r="B35" i="8" s="1"/>
  <c r="C77" i="3" l="1"/>
  <c r="D77" i="3"/>
  <c r="E77" i="3"/>
  <c r="F77" i="3"/>
  <c r="G5" i="3"/>
  <c r="G13" i="5" l="1"/>
  <c r="D16" i="4"/>
  <c r="D14" i="4"/>
  <c r="D13" i="4"/>
  <c r="D15" i="4"/>
  <c r="D17" i="4" l="1"/>
  <c r="D18" i="4" s="1"/>
  <c r="D19" i="4" s="1"/>
  <c r="D20" i="4" s="1"/>
  <c r="D21" i="4" s="1"/>
  <c r="G78" i="5"/>
  <c r="H78" i="5" s="1"/>
  <c r="I78" i="5" s="1"/>
  <c r="J78" i="5" s="1"/>
  <c r="K78" i="5" s="1"/>
  <c r="G76" i="3" s="1"/>
  <c r="G77" i="5"/>
  <c r="H77" i="5" s="1"/>
  <c r="I77" i="5" s="1"/>
  <c r="J77" i="5" s="1"/>
  <c r="K77" i="5" s="1"/>
  <c r="G75" i="3" s="1"/>
  <c r="G76" i="5"/>
  <c r="H76" i="5" s="1"/>
  <c r="I76" i="5" s="1"/>
  <c r="J76" i="5" s="1"/>
  <c r="K76" i="5" s="1"/>
  <c r="G74" i="3" s="1"/>
  <c r="G75" i="5"/>
  <c r="H75" i="5" s="1"/>
  <c r="I75" i="5" s="1"/>
  <c r="J75" i="5" s="1"/>
  <c r="K75" i="5" s="1"/>
  <c r="G73" i="3" s="1"/>
  <c r="G74" i="5"/>
  <c r="H74" i="5" s="1"/>
  <c r="I74" i="5" s="1"/>
  <c r="J74" i="5" s="1"/>
  <c r="K74" i="5" s="1"/>
  <c r="G72" i="3" s="1"/>
  <c r="G73" i="5"/>
  <c r="H73" i="5" s="1"/>
  <c r="I73" i="5" s="1"/>
  <c r="J73" i="5" s="1"/>
  <c r="K73" i="5" s="1"/>
  <c r="G71" i="3" s="1"/>
  <c r="G72" i="5"/>
  <c r="H72" i="5" s="1"/>
  <c r="I72" i="5" s="1"/>
  <c r="J72" i="5" s="1"/>
  <c r="K72" i="5" s="1"/>
  <c r="G70" i="3" s="1"/>
  <c r="G71" i="5"/>
  <c r="H71" i="5" s="1"/>
  <c r="I71" i="5" s="1"/>
  <c r="J71" i="5" s="1"/>
  <c r="K71" i="5" s="1"/>
  <c r="G69" i="3" s="1"/>
  <c r="G70" i="5"/>
  <c r="H70" i="5" s="1"/>
  <c r="I70" i="5" s="1"/>
  <c r="J70" i="5" s="1"/>
  <c r="K70" i="5" s="1"/>
  <c r="G68" i="3" s="1"/>
  <c r="G69" i="5"/>
  <c r="H69" i="5" s="1"/>
  <c r="I69" i="5" s="1"/>
  <c r="J69" i="5" s="1"/>
  <c r="K69" i="5" s="1"/>
  <c r="G67" i="3" s="1"/>
  <c r="G68" i="5"/>
  <c r="H68" i="5" s="1"/>
  <c r="I68" i="5" s="1"/>
  <c r="J68" i="5" s="1"/>
  <c r="K68" i="5" s="1"/>
  <c r="G66" i="3" s="1"/>
  <c r="G67" i="5"/>
  <c r="H67" i="5" s="1"/>
  <c r="I67" i="5" s="1"/>
  <c r="J67" i="5" s="1"/>
  <c r="K67" i="5" s="1"/>
  <c r="G65" i="3" s="1"/>
  <c r="G66" i="5"/>
  <c r="H66" i="5" s="1"/>
  <c r="I66" i="5" s="1"/>
  <c r="J66" i="5" s="1"/>
  <c r="K66" i="5" s="1"/>
  <c r="G64" i="3" s="1"/>
  <c r="G65" i="5"/>
  <c r="H65" i="5" s="1"/>
  <c r="I65" i="5" s="1"/>
  <c r="J65" i="5" s="1"/>
  <c r="K65" i="5" s="1"/>
  <c r="G63" i="3" s="1"/>
  <c r="G64" i="5"/>
  <c r="H64" i="5" s="1"/>
  <c r="I64" i="5" s="1"/>
  <c r="J64" i="5" s="1"/>
  <c r="K64" i="5" s="1"/>
  <c r="G62" i="3" s="1"/>
  <c r="G63" i="5"/>
  <c r="G62" i="5"/>
  <c r="G61" i="5"/>
  <c r="H61" i="5" s="1"/>
  <c r="I61" i="5" s="1"/>
  <c r="J61" i="5" s="1"/>
  <c r="K61" i="5" s="1"/>
  <c r="G59" i="3" s="1"/>
  <c r="G60" i="5"/>
  <c r="H60" i="5" s="1"/>
  <c r="I60" i="5" s="1"/>
  <c r="J60" i="5" s="1"/>
  <c r="K60" i="5" s="1"/>
  <c r="G58" i="3" s="1"/>
  <c r="G59" i="5"/>
  <c r="H59" i="5" s="1"/>
  <c r="I59" i="5" s="1"/>
  <c r="J59" i="5" s="1"/>
  <c r="K59" i="5" s="1"/>
  <c r="G57" i="3" s="1"/>
  <c r="G58" i="5"/>
  <c r="H58" i="5" s="1"/>
  <c r="I58" i="5" s="1"/>
  <c r="J58" i="5" s="1"/>
  <c r="K58" i="5" s="1"/>
  <c r="G56" i="3" s="1"/>
  <c r="G57" i="5"/>
  <c r="H57" i="5" s="1"/>
  <c r="I57" i="5" s="1"/>
  <c r="J57" i="5" s="1"/>
  <c r="K57" i="5" s="1"/>
  <c r="G55" i="3" s="1"/>
  <c r="G56" i="5"/>
  <c r="H56" i="5" s="1"/>
  <c r="I56" i="5" s="1"/>
  <c r="J56" i="5" s="1"/>
  <c r="K56" i="5" s="1"/>
  <c r="G54" i="3" s="1"/>
  <c r="G55" i="5"/>
  <c r="H55" i="5" s="1"/>
  <c r="I55" i="5" s="1"/>
  <c r="J55" i="5" s="1"/>
  <c r="K55" i="5" s="1"/>
  <c r="G53" i="3" s="1"/>
  <c r="G54" i="5"/>
  <c r="H54" i="5" s="1"/>
  <c r="I54" i="5" s="1"/>
  <c r="J54" i="5" s="1"/>
  <c r="K54" i="5" s="1"/>
  <c r="G52" i="3" s="1"/>
  <c r="G53" i="5"/>
  <c r="H53" i="5" s="1"/>
  <c r="I53" i="5" s="1"/>
  <c r="J53" i="5" s="1"/>
  <c r="K53" i="5" s="1"/>
  <c r="G51" i="3" s="1"/>
  <c r="G52" i="5"/>
  <c r="H52" i="5" s="1"/>
  <c r="I52" i="5" s="1"/>
  <c r="J52" i="5" s="1"/>
  <c r="K52" i="5" s="1"/>
  <c r="G50" i="3" s="1"/>
  <c r="G51" i="5"/>
  <c r="H51" i="5" s="1"/>
  <c r="I51" i="5" s="1"/>
  <c r="J51" i="5" s="1"/>
  <c r="K51" i="5" s="1"/>
  <c r="G49" i="3" s="1"/>
  <c r="G50" i="5"/>
  <c r="H50" i="5" s="1"/>
  <c r="I50" i="5" s="1"/>
  <c r="J50" i="5" s="1"/>
  <c r="K50" i="5" s="1"/>
  <c r="G48" i="3" s="1"/>
  <c r="G49" i="5"/>
  <c r="H49" i="5" s="1"/>
  <c r="I49" i="5" s="1"/>
  <c r="J49" i="5" s="1"/>
  <c r="K49" i="5" s="1"/>
  <c r="G47" i="3" s="1"/>
  <c r="G48" i="5"/>
  <c r="H48" i="5" s="1"/>
  <c r="I48" i="5" s="1"/>
  <c r="J48" i="5" s="1"/>
  <c r="K48" i="5" s="1"/>
  <c r="G46" i="3" s="1"/>
  <c r="G47" i="5"/>
  <c r="H47" i="5" s="1"/>
  <c r="I47" i="5" s="1"/>
  <c r="J47" i="5" s="1"/>
  <c r="K47" i="5" s="1"/>
  <c r="G45" i="3" s="1"/>
  <c r="G46" i="5"/>
  <c r="H46" i="5" s="1"/>
  <c r="I46" i="5" s="1"/>
  <c r="J46" i="5" s="1"/>
  <c r="K46" i="5" s="1"/>
  <c r="G44" i="3" s="1"/>
  <c r="G45" i="5"/>
  <c r="H45" i="5" s="1"/>
  <c r="I45" i="5" s="1"/>
  <c r="J45" i="5" s="1"/>
  <c r="K45" i="5" s="1"/>
  <c r="G43" i="3" s="1"/>
  <c r="G44" i="5"/>
  <c r="H44" i="5" s="1"/>
  <c r="I44" i="5" s="1"/>
  <c r="J44" i="5" s="1"/>
  <c r="K44" i="5" s="1"/>
  <c r="G42" i="3" s="1"/>
  <c r="G43" i="5"/>
  <c r="H43" i="5" s="1"/>
  <c r="I43" i="5" s="1"/>
  <c r="J43" i="5" s="1"/>
  <c r="K43" i="5" s="1"/>
  <c r="G41" i="3" s="1"/>
  <c r="G42" i="5"/>
  <c r="H42" i="5" s="1"/>
  <c r="I42" i="5" s="1"/>
  <c r="J42" i="5" s="1"/>
  <c r="K42" i="5" s="1"/>
  <c r="G40" i="3" s="1"/>
  <c r="G41" i="5"/>
  <c r="H41" i="5" s="1"/>
  <c r="I41" i="5" s="1"/>
  <c r="J41" i="5" s="1"/>
  <c r="K41" i="5" s="1"/>
  <c r="G39" i="3" s="1"/>
  <c r="G40" i="5"/>
  <c r="H40" i="5" s="1"/>
  <c r="I40" i="5" s="1"/>
  <c r="J40" i="5" s="1"/>
  <c r="K40" i="5" s="1"/>
  <c r="G38" i="3" s="1"/>
  <c r="G39" i="5"/>
  <c r="H39" i="5" s="1"/>
  <c r="I39" i="5" s="1"/>
  <c r="J39" i="5" s="1"/>
  <c r="K39" i="5" s="1"/>
  <c r="G37" i="3" s="1"/>
  <c r="G38" i="5"/>
  <c r="H38" i="5" s="1"/>
  <c r="I38" i="5" s="1"/>
  <c r="J38" i="5" s="1"/>
  <c r="K38" i="5" s="1"/>
  <c r="G36" i="3" s="1"/>
  <c r="G37" i="5"/>
  <c r="H37" i="5" s="1"/>
  <c r="I37" i="5" s="1"/>
  <c r="J37" i="5" s="1"/>
  <c r="K37" i="5" s="1"/>
  <c r="G35" i="3" s="1"/>
  <c r="G36" i="5"/>
  <c r="H36" i="5" s="1"/>
  <c r="I36" i="5" s="1"/>
  <c r="J36" i="5" s="1"/>
  <c r="K36" i="5" s="1"/>
  <c r="G34" i="3" s="1"/>
  <c r="G35" i="5"/>
  <c r="H35" i="5" s="1"/>
  <c r="I35" i="5" s="1"/>
  <c r="J35" i="5" s="1"/>
  <c r="K35" i="5" s="1"/>
  <c r="G33" i="3" s="1"/>
  <c r="G34" i="5"/>
  <c r="H34" i="5" s="1"/>
  <c r="I34" i="5" s="1"/>
  <c r="J34" i="5" s="1"/>
  <c r="K34" i="5" s="1"/>
  <c r="G32" i="3" s="1"/>
  <c r="G33" i="5"/>
  <c r="H33" i="5" s="1"/>
  <c r="I33" i="5" s="1"/>
  <c r="J33" i="5" s="1"/>
  <c r="K33" i="5" s="1"/>
  <c r="G31" i="3" s="1"/>
  <c r="G32" i="5"/>
  <c r="H32" i="5" s="1"/>
  <c r="I32" i="5" s="1"/>
  <c r="J32" i="5" s="1"/>
  <c r="K32" i="5" s="1"/>
  <c r="G30" i="3" s="1"/>
  <c r="G31" i="5"/>
  <c r="H31" i="5" s="1"/>
  <c r="I31" i="5" s="1"/>
  <c r="J31" i="5" s="1"/>
  <c r="K31" i="5" s="1"/>
  <c r="G29" i="3" s="1"/>
  <c r="G30" i="5"/>
  <c r="H30" i="5" s="1"/>
  <c r="I30" i="5" s="1"/>
  <c r="J30" i="5" s="1"/>
  <c r="K30" i="5" s="1"/>
  <c r="G28" i="3" s="1"/>
  <c r="G29" i="5"/>
  <c r="H29" i="5" s="1"/>
  <c r="I29" i="5" s="1"/>
  <c r="J29" i="5" s="1"/>
  <c r="K29" i="5" s="1"/>
  <c r="G27" i="3" s="1"/>
  <c r="G28" i="5"/>
  <c r="H28" i="5" s="1"/>
  <c r="I28" i="5" s="1"/>
  <c r="J28" i="5" s="1"/>
  <c r="K28" i="5" s="1"/>
  <c r="G26" i="3" s="1"/>
  <c r="G27" i="5"/>
  <c r="H27" i="5" s="1"/>
  <c r="I27" i="5" s="1"/>
  <c r="J27" i="5" s="1"/>
  <c r="K27" i="5" s="1"/>
  <c r="G25" i="3" s="1"/>
  <c r="G26" i="5"/>
  <c r="H26" i="5" s="1"/>
  <c r="I26" i="5" s="1"/>
  <c r="J26" i="5" s="1"/>
  <c r="K26" i="5" s="1"/>
  <c r="G24" i="3" s="1"/>
  <c r="G25" i="5"/>
  <c r="H25" i="5" s="1"/>
  <c r="I25" i="5" s="1"/>
  <c r="J25" i="5" s="1"/>
  <c r="K25" i="5" s="1"/>
  <c r="G23" i="3" s="1"/>
  <c r="G24" i="5"/>
  <c r="H24" i="5" s="1"/>
  <c r="I24" i="5" s="1"/>
  <c r="J24" i="5" s="1"/>
  <c r="K24" i="5" s="1"/>
  <c r="G22" i="3" s="1"/>
  <c r="G23" i="5"/>
  <c r="H23" i="5" s="1"/>
  <c r="I23" i="5" s="1"/>
  <c r="J23" i="5" s="1"/>
  <c r="K23" i="5" s="1"/>
  <c r="G21" i="3" s="1"/>
  <c r="G22" i="5"/>
  <c r="H22" i="5" s="1"/>
  <c r="I22" i="5" s="1"/>
  <c r="J22" i="5" s="1"/>
  <c r="K22" i="5" s="1"/>
  <c r="G20" i="3" s="1"/>
  <c r="G21" i="5"/>
  <c r="H21" i="5" s="1"/>
  <c r="I21" i="5" s="1"/>
  <c r="J21" i="5" s="1"/>
  <c r="K21" i="5" s="1"/>
  <c r="G19" i="3" s="1"/>
  <c r="G20" i="5"/>
  <c r="H20" i="5" s="1"/>
  <c r="I20" i="5" s="1"/>
  <c r="J20" i="5" s="1"/>
  <c r="K20" i="5" s="1"/>
  <c r="G18" i="3" s="1"/>
  <c r="G19" i="5"/>
  <c r="H19" i="5" s="1"/>
  <c r="I19" i="5" s="1"/>
  <c r="J19" i="5" s="1"/>
  <c r="K19" i="5" s="1"/>
  <c r="G17" i="3" s="1"/>
  <c r="G18" i="5"/>
  <c r="H18" i="5" s="1"/>
  <c r="I18" i="5" s="1"/>
  <c r="J18" i="5" s="1"/>
  <c r="K18" i="5" s="1"/>
  <c r="G16" i="3" s="1"/>
  <c r="G17" i="5"/>
  <c r="H17" i="5" s="1"/>
  <c r="I17" i="5" s="1"/>
  <c r="J17" i="5" s="1"/>
  <c r="K17" i="5" s="1"/>
  <c r="G15" i="3" s="1"/>
  <c r="G16" i="5"/>
  <c r="H16" i="5" s="1"/>
  <c r="I16" i="5" s="1"/>
  <c r="J16" i="5" s="1"/>
  <c r="K16" i="5" s="1"/>
  <c r="G14" i="3" s="1"/>
  <c r="G15" i="5"/>
  <c r="H15" i="5" s="1"/>
  <c r="I15" i="5" s="1"/>
  <c r="J15" i="5" s="1"/>
  <c r="K15" i="5" s="1"/>
  <c r="G13" i="3" s="1"/>
  <c r="G14" i="5"/>
  <c r="H14" i="5" s="1"/>
  <c r="I14" i="5" s="1"/>
  <c r="J14" i="5" s="1"/>
  <c r="K14" i="5" s="1"/>
  <c r="G12" i="3" s="1"/>
  <c r="H13" i="5"/>
  <c r="I13" i="5" s="1"/>
  <c r="J13" i="5" s="1"/>
  <c r="K13" i="5" s="1"/>
  <c r="G11" i="3" s="1"/>
  <c r="G12" i="5"/>
  <c r="H12" i="5" s="1"/>
  <c r="I12" i="5" s="1"/>
  <c r="J12" i="5" s="1"/>
  <c r="K12" i="5" s="1"/>
  <c r="G10" i="3" s="1"/>
  <c r="G11" i="5"/>
  <c r="H11" i="5" s="1"/>
  <c r="I11" i="5" s="1"/>
  <c r="J11" i="5" s="1"/>
  <c r="K11" i="5" s="1"/>
  <c r="G9" i="3" s="1"/>
  <c r="G10" i="5"/>
  <c r="H10" i="5" s="1"/>
  <c r="I10" i="5" s="1"/>
  <c r="J10" i="5" s="1"/>
  <c r="K10" i="5" s="1"/>
  <c r="G8" i="3" s="1"/>
  <c r="G9" i="5"/>
  <c r="H9" i="5" s="1"/>
  <c r="I9" i="5" s="1"/>
  <c r="J9" i="5" s="1"/>
  <c r="K9" i="5" s="1"/>
  <c r="G7" i="3" s="1"/>
  <c r="H8" i="5"/>
  <c r="I8" i="5" s="1"/>
  <c r="J8" i="5" s="1"/>
  <c r="K8" i="5" s="1"/>
  <c r="G6" i="3" s="1"/>
  <c r="E31" i="9" s="1"/>
  <c r="E33" i="9" s="1"/>
  <c r="E38" i="9" s="1"/>
  <c r="G7" i="5"/>
  <c r="E79" i="5"/>
  <c r="D79" i="5"/>
  <c r="C79" i="5"/>
  <c r="H63" i="5"/>
  <c r="I63" i="5" s="1"/>
  <c r="J63" i="5" s="1"/>
  <c r="K63" i="5" s="1"/>
  <c r="G61" i="3" s="1"/>
  <c r="H62" i="5"/>
  <c r="I62" i="5" s="1"/>
  <c r="J62" i="5" s="1"/>
  <c r="K62" i="5" s="1"/>
  <c r="G60" i="3" s="1"/>
  <c r="G77" i="3" l="1"/>
  <c r="H7" i="5"/>
  <c r="I7" i="5" s="1"/>
  <c r="J7" i="5" s="1"/>
  <c r="K7" i="5" s="1"/>
  <c r="G79" i="5"/>
  <c r="H79" i="5"/>
  <c r="I79" i="5" s="1"/>
  <c r="J79" i="5" l="1"/>
  <c r="K79" i="5"/>
</calcChain>
</file>

<file path=xl/sharedStrings.xml><?xml version="1.0" encoding="utf-8"?>
<sst xmlns="http://schemas.openxmlformats.org/spreadsheetml/2006/main" count="415" uniqueCount="276">
  <si>
    <t>California Community Colleges</t>
  </si>
  <si>
    <t>Table of Contents</t>
  </si>
  <si>
    <t>Full-Time Faculty Obligation Number (FON) Workbook</t>
  </si>
  <si>
    <t>FON Estimator</t>
  </si>
  <si>
    <t>Definitions</t>
  </si>
  <si>
    <t>Column</t>
  </si>
  <si>
    <t>Definition</t>
  </si>
  <si>
    <t>Source</t>
  </si>
  <si>
    <t xml:space="preserve">Base FON </t>
  </si>
  <si>
    <t>Prior year FON as calculated per actual funded credit FTES.  Updated at each apportionment cycle and finalized at apportionment recalculation.</t>
  </si>
  <si>
    <t>Base Credit FTES</t>
  </si>
  <si>
    <t xml:space="preserve">Prior year actual funded credit FTES as of most recent apportionment report. Updated at each apportionment cycle and finalized at apportionment recalculation. </t>
  </si>
  <si>
    <t>Funded Credit FTES</t>
  </si>
  <si>
    <t>Current Year funded credit FTES as of most recent apportionment cycle.  Updated at each apportionment cycle and finalized at apportionment recalculation.</t>
  </si>
  <si>
    <t>Deficit Factor</t>
  </si>
  <si>
    <t xml:space="preserve">Applies if state funding is insufficient to fully fund Total Computational Revenue.  </t>
  </si>
  <si>
    <t>Funded Credit FTEs adjusted for Deficit Factor</t>
  </si>
  <si>
    <t>Change in FTES Growth/(Decline)</t>
  </si>
  <si>
    <t>Percent Change (Change in FTES/Base Credit FTES)</t>
  </si>
  <si>
    <t>FTES Adjustment</t>
  </si>
  <si>
    <t>District</t>
  </si>
  <si>
    <t>Allan Hancock</t>
  </si>
  <si>
    <t>Antelope Valley</t>
  </si>
  <si>
    <t>Barstow</t>
  </si>
  <si>
    <t>Butte</t>
  </si>
  <si>
    <t>Cabrillo</t>
  </si>
  <si>
    <t>Cerritos</t>
  </si>
  <si>
    <t>Chabot-Las Positas</t>
  </si>
  <si>
    <t>Chaffey</t>
  </si>
  <si>
    <t>Citrus</t>
  </si>
  <si>
    <t>Coast</t>
  </si>
  <si>
    <t>Compton</t>
  </si>
  <si>
    <t>Contra Costa</t>
  </si>
  <si>
    <t>Copper Mt.</t>
  </si>
  <si>
    <t>Desert</t>
  </si>
  <si>
    <t>El Camino</t>
  </si>
  <si>
    <t>Feather River</t>
  </si>
  <si>
    <t>Foothill-DeAnza</t>
  </si>
  <si>
    <t>Gavilan</t>
  </si>
  <si>
    <t>Glendale</t>
  </si>
  <si>
    <t>Grossmont-Cuyamaca</t>
  </si>
  <si>
    <t>Hartnell</t>
  </si>
  <si>
    <t>Imperial</t>
  </si>
  <si>
    <t>Kern</t>
  </si>
  <si>
    <t>Lake Tahoe</t>
  </si>
  <si>
    <t>Lassen</t>
  </si>
  <si>
    <t>Long Beach</t>
  </si>
  <si>
    <t>Los Angeles</t>
  </si>
  <si>
    <t>Los Rios</t>
  </si>
  <si>
    <t>Marin</t>
  </si>
  <si>
    <t>Mendocino-Lake</t>
  </si>
  <si>
    <t>Merced</t>
  </si>
  <si>
    <t>Mira Costa</t>
  </si>
  <si>
    <t>Monterey Peninsula</t>
  </si>
  <si>
    <t>Mt. San Antonio</t>
  </si>
  <si>
    <t>Mt. San Jacinto</t>
  </si>
  <si>
    <t>Napa Valley</t>
  </si>
  <si>
    <t>North Orange County</t>
  </si>
  <si>
    <t>Ohlone</t>
  </si>
  <si>
    <t>Palo Verde</t>
  </si>
  <si>
    <t>Palomar</t>
  </si>
  <si>
    <t>Pasadena Area</t>
  </si>
  <si>
    <t>Peralta</t>
  </si>
  <si>
    <t>Rancho Santiago</t>
  </si>
  <si>
    <t>Redwoods</t>
  </si>
  <si>
    <t>Rio Hondo</t>
  </si>
  <si>
    <t>Riverside</t>
  </si>
  <si>
    <t>San Bernardino</t>
  </si>
  <si>
    <t>San Diego</t>
  </si>
  <si>
    <t>San Francisco</t>
  </si>
  <si>
    <t>San Joaquin Delta</t>
  </si>
  <si>
    <t>San Jose-Evergreen</t>
  </si>
  <si>
    <t>San Luis Obispo</t>
  </si>
  <si>
    <t>San Mateo</t>
  </si>
  <si>
    <t>Santa Barbara</t>
  </si>
  <si>
    <t>Santa Clarita</t>
  </si>
  <si>
    <t>Santa Monica</t>
  </si>
  <si>
    <t>Sequoias</t>
  </si>
  <si>
    <t>Shasta-Tehama-Trinity</t>
  </si>
  <si>
    <t>Sierra</t>
  </si>
  <si>
    <t>Siskiyou</t>
  </si>
  <si>
    <t>Solano</t>
  </si>
  <si>
    <t>Sonoma County</t>
  </si>
  <si>
    <t>South Orange</t>
  </si>
  <si>
    <t>Southwestern</t>
  </si>
  <si>
    <t>State Center</t>
  </si>
  <si>
    <t>Ventura</t>
  </si>
  <si>
    <t>Victor Valley</t>
  </si>
  <si>
    <t>West Hills</t>
  </si>
  <si>
    <t>West Kern</t>
  </si>
  <si>
    <t>West Valley-Mission</t>
  </si>
  <si>
    <t>Yosemite</t>
  </si>
  <si>
    <t>Yuba</t>
  </si>
  <si>
    <t>Statewide Total</t>
  </si>
  <si>
    <t>Fall 2022
Compliance FON</t>
  </si>
  <si>
    <t>Fall 2023
Advance FON</t>
  </si>
  <si>
    <t>Estimates</t>
  </si>
  <si>
    <t>(a)</t>
  </si>
  <si>
    <t>Base FON</t>
  </si>
  <si>
    <t>(b)</t>
  </si>
  <si>
    <t xml:space="preserve">Base credit FTES </t>
  </si>
  <si>
    <t>(c)</t>
  </si>
  <si>
    <t>Funded credit FTES</t>
  </si>
  <si>
    <t>(d)</t>
  </si>
  <si>
    <t>(1-deficit factor)</t>
  </si>
  <si>
    <t>(e = c*d)</t>
  </si>
  <si>
    <t>Funded credit FTES adjusted for deficit factor</t>
  </si>
  <si>
    <t>(f = e-b)</t>
  </si>
  <si>
    <t>Change in FTES</t>
  </si>
  <si>
    <t>(g = f/b)</t>
  </si>
  <si>
    <t>Percent change in FTES</t>
  </si>
  <si>
    <t>(h = a*g)</t>
  </si>
  <si>
    <t>FTES adjustment</t>
  </si>
  <si>
    <t>Change in FTES 
Growth (Decline)
(f = e-b)</t>
  </si>
  <si>
    <t>Sources</t>
  </si>
  <si>
    <t>Use Fall 2022 R1 workbook (see Column L)</t>
  </si>
  <si>
    <t>Provided by SCFF 2021-22 R1 Exhibit C</t>
  </si>
  <si>
    <t>Calculated</t>
  </si>
  <si>
    <t>Funded Credit FTES adjusted by Deficit Percentage
(e = c*(1-d))</t>
  </si>
  <si>
    <r>
      <t xml:space="preserve">FTES Adjustment
(h = a*g) 
</t>
    </r>
    <r>
      <rPr>
        <b/>
        <i/>
        <sz val="11"/>
        <color theme="0"/>
        <rFont val="Source Sans Pro"/>
        <family val="2"/>
      </rPr>
      <t>(</t>
    </r>
    <r>
      <rPr>
        <b/>
        <i/>
        <sz val="9"/>
        <color theme="0"/>
        <rFont val="Source Sans Pro"/>
        <family val="2"/>
      </rPr>
      <t>rounded</t>
    </r>
    <r>
      <rPr>
        <b/>
        <i/>
        <sz val="11"/>
        <color theme="0"/>
        <rFont val="Source Sans Pro"/>
        <family val="2"/>
      </rPr>
      <t>)</t>
    </r>
  </si>
  <si>
    <t>(i = a + h)</t>
  </si>
  <si>
    <t>vlookup</t>
  </si>
  <si>
    <t>Tab Instructions</t>
  </si>
  <si>
    <t>Base FON:
2021-22 Fall 2022 R1 FON
(a)</t>
  </si>
  <si>
    <t>Base FTES: 
2021-22 R1 Funded Credit FTES
(b)</t>
  </si>
  <si>
    <t>Percent Change 
Change in FTES/Base Credit FTES
(g = f/b)</t>
  </si>
  <si>
    <t>Adjustment to reflect that statewide Total Computational Revenue is estimated as not fully funded. For apportionments, the deficit factor is applied to the dollar amount of funding (FTES x funding rate).  For the purposes of calculating the FON, we apply the deficit factor directly to the number of FTES.  (Funded Credit FTES x  Deficit Factor)</t>
  </si>
  <si>
    <t>This column reflects the difference between the prior and current year estimated FTES.
Change in FTES from Prior Year 
(Adjusted Funded Credit FTES - Base Credit FTES)</t>
  </si>
  <si>
    <t>The FTES adjustment is the Increase or decrease to FON due to change in FTES  
(Percent Change * Base FON) rounded down to nearest whole number.</t>
  </si>
  <si>
    <t xml:space="preserve">Fall 2022
Reported FON </t>
  </si>
  <si>
    <t>Definitions for Fall 2023 P2 FON Calculation Tab</t>
  </si>
  <si>
    <t>Fall 2022 R1 FON calculation</t>
  </si>
  <si>
    <t>Calculated in Fall 2023 P2 FON Calculation tab spreadsheet.</t>
  </si>
  <si>
    <t>Fall 2023 P2
FON
(i =  a+ h)</t>
  </si>
  <si>
    <t>2022-23 P2
Deficit Percentage
(d)</t>
  </si>
  <si>
    <t>Funded Credit FTES:
2022-23 P2 Funded Credit FTES
(c )</t>
  </si>
  <si>
    <t>Provided by SCFF 2022-23 P2 Exhibit C</t>
  </si>
  <si>
    <t xml:space="preserve">Fall 2023 P2 Faculty Obligation Number </t>
  </si>
  <si>
    <t>Fall 2023 P2 FON</t>
  </si>
  <si>
    <t>Fall 2023 
P2 FON</t>
  </si>
  <si>
    <t>Fall 2023 P2 FON Calculation</t>
  </si>
  <si>
    <t>Displays the data used to calculate the Faculty Obligation Number (FON) for Fall 2023 P2.</t>
  </si>
  <si>
    <t xml:space="preserve">Provides definitions for Fall 2023 P2 FON calculations and sources. </t>
  </si>
  <si>
    <t>For any assistance with the FON workbook, please contact: Jubilee Smallwood at jsmallwood@cccco.edu</t>
  </si>
  <si>
    <t xml:space="preserve">Replacement Cost </t>
  </si>
  <si>
    <t xml:space="preserve">Displays calculations for the average replacement cost for Fall 2023 used on the compliance form.  </t>
  </si>
  <si>
    <t>District must complete and submit the form to our office on or before November 1, 2023</t>
  </si>
  <si>
    <t>Date:</t>
  </si>
  <si>
    <t>I hereby certify that the information above is true and correct to the best of my knowledge.</t>
  </si>
  <si>
    <t>Phone:</t>
  </si>
  <si>
    <t>Email:</t>
  </si>
  <si>
    <t>Name &amp; Title:</t>
  </si>
  <si>
    <t>=</t>
  </si>
  <si>
    <t>Estimated Penalty</t>
  </si>
  <si>
    <t>ß</t>
  </si>
  <si>
    <t>Select district from dropdown menu</t>
  </si>
  <si>
    <t>Instructions/Notes</t>
  </si>
  <si>
    <t>Full-Time Faculty Obligation</t>
  </si>
  <si>
    <t>Fall 2023
Compliance FON</t>
  </si>
  <si>
    <t xml:space="preserve">The Fall 2023 P2 FON will be used to determine the compliance FON. FON is calculated at either Advance (AD) or at the second principal apportionment (P2). </t>
  </si>
  <si>
    <t>Fall 2021</t>
  </si>
  <si>
    <t>Fall 2020</t>
  </si>
  <si>
    <t>Fall 2019</t>
  </si>
  <si>
    <t>Fall 2018</t>
  </si>
  <si>
    <t>Fall 2017</t>
  </si>
  <si>
    <t>Fall 2016</t>
  </si>
  <si>
    <t>Fall 2015</t>
  </si>
  <si>
    <t>PT-ben (calculated)</t>
  </si>
  <si>
    <t>Avg. P/T</t>
  </si>
  <si>
    <t>FT-benefit (calculated)</t>
  </si>
  <si>
    <t xml:space="preserve">Avg. F/T  </t>
  </si>
  <si>
    <t>E.=(A.+B.)-(C.+D.)</t>
  </si>
  <si>
    <t>D.</t>
  </si>
  <si>
    <t>C.</t>
  </si>
  <si>
    <t>B.</t>
  </si>
  <si>
    <t>A.</t>
  </si>
  <si>
    <t>Historical Faculty Replacement Cost</t>
  </si>
  <si>
    <t>Replacement Cost (A-B)(rounded to whole dollars)</t>
  </si>
  <si>
    <t>E.</t>
  </si>
  <si>
    <t>Total Part-time faculty cost</t>
  </si>
  <si>
    <t>Total cost of mandatory contributions  10.75%</t>
  </si>
  <si>
    <t>Worker's Compensation, 1.5%</t>
  </si>
  <si>
    <t>Employment training,.1%</t>
  </si>
  <si>
    <t>Unemployment insurance, 1.5%</t>
  </si>
  <si>
    <t>Social security/retirement, 7.65%</t>
  </si>
  <si>
    <t>Part-time faculty mandatory contributions</t>
  </si>
  <si>
    <t>(15WFCH per week x 35 weeks x $xxx WFCH)</t>
  </si>
  <si>
    <t>PT faculty workload equivalent (calculated using FTEF for credit and noncredit)</t>
  </si>
  <si>
    <t>Average PT faculty hourly rate for Fall (Use statewide average hourly salary for Academic Temporary - Instruction, Credit &amp; Noncredit)</t>
  </si>
  <si>
    <t>Part-time Faculty Offset</t>
  </si>
  <si>
    <t>Total Compensation</t>
  </si>
  <si>
    <t>Optional Benefits and mandatory contributions @25%</t>
  </si>
  <si>
    <t xml:space="preserve">Average Annual Salary Tenured/Tenure Track </t>
  </si>
  <si>
    <t>Full-time Faculty Cost</t>
  </si>
  <si>
    <t>Statewide Average Replacement Cost</t>
  </si>
  <si>
    <t xml:space="preserve">Step 2:
Use two reports to calculate faculty replacement cost for past Fall. 
Input statewide average salary and statewide academic temporary for as per title 5 51025 (d).
Once inputs are entered, then it will calculate replacement cost. </t>
  </si>
  <si>
    <t>Instructions:</t>
  </si>
  <si>
    <t xml:space="preserve">The statewide average full-time faculty teaching load is equal to a full-time equivalent student’s contact hours of 525 hours per semester (see Title 5 section 58003.1), or 15 weekly faculty contact hours x 35 weeks = 525. 
</t>
  </si>
  <si>
    <t xml:space="preserve">Methodology: </t>
  </si>
  <si>
    <t>Select Report (Fall) Year</t>
  </si>
  <si>
    <t>Employee Category Salary Distribution by District</t>
  </si>
  <si>
    <t>Select Report Type</t>
  </si>
  <si>
    <t>For Average Hourly Rate - Find Academic Temporary - Instruction, Credit &amp; Noncredit Statewide Rate</t>
  </si>
  <si>
    <t>Salary Distribution by District</t>
  </si>
  <si>
    <t>For Average Annual Salary - Find Tenured/Tenure Track Statewide Total</t>
  </si>
  <si>
    <t>Step 1:
To find reports use the following link:  https://datamart.cccco.edu/Faculty-Staff/Staff_Annual.aspx</t>
  </si>
  <si>
    <r>
      <t xml:space="preserve">Use Management Information Systems Data Mart, Annual Statewide Staffing Reports 
</t>
    </r>
    <r>
      <rPr>
        <b/>
        <sz val="11"/>
        <color theme="1"/>
        <rFont val="Calibri"/>
        <family val="2"/>
        <scheme val="minor"/>
      </rPr>
      <t/>
    </r>
  </si>
  <si>
    <t>Source:</t>
  </si>
  <si>
    <t xml:space="preserve">Report information is typically available in Spring and districts must provide by January 31. </t>
  </si>
  <si>
    <t>Full-Time Faculty Replacement Cost Calculated June 2023</t>
  </si>
  <si>
    <t>Choose (Fall) year 2022</t>
  </si>
  <si>
    <t>Automatically populates from Tab "Fall 2023 P2 FON Calculation" by choosing district.</t>
  </si>
  <si>
    <t xml:space="preserve"> Input your estimate of total of  3 year average Credit + Special Admit Credit + Incarcerated Credit</t>
  </si>
  <si>
    <t>Input your estimated deficit factor</t>
  </si>
  <si>
    <t>Estimated Fall 2023 R1 FON</t>
  </si>
  <si>
    <t>Fall 2023 R1 FON Estimator Tool</t>
  </si>
  <si>
    <t>R1 Funded Credit FTES</t>
  </si>
  <si>
    <t>Automatically populates from your estimate in Cell D7 above</t>
  </si>
  <si>
    <t>Automatically populates from your estimate in Cell D8 above</t>
  </si>
  <si>
    <t>Estimated R1 FON</t>
  </si>
  <si>
    <t>Replacement Cost (rounded)</t>
  </si>
  <si>
    <t>Fall 2022</t>
  </si>
  <si>
    <t>Datamart Report Fall Year</t>
  </si>
  <si>
    <t>FON Compliance Fall Year</t>
  </si>
  <si>
    <t>Fall 2023</t>
  </si>
  <si>
    <t xml:space="preserve">The Board of Governors, at their November 2022 meeting, fully implemented the FON for Fall 2023.  </t>
  </si>
  <si>
    <t xml:space="preserve">Full-Time Equivalent Faculty (FTEF) Calculation </t>
  </si>
  <si>
    <t>Full-time equivalent faculty indicates the full-time load factor associated with each assignment. A regular full-time load is considered to be 100% and expressed as 1.0 FTEF.  A half-time load is considered 50% and is expressed as 0.5 FTEF.</t>
  </si>
  <si>
    <t>Full-Time FTEF, calculated per Title 5 section 53309</t>
  </si>
  <si>
    <t>FTEF</t>
  </si>
  <si>
    <t>Include sabbatical, released/reassigned time, paid medical leave, unpaid leave, and late retirement</t>
  </si>
  <si>
    <t>Total Full-Time FTEF</t>
  </si>
  <si>
    <t>Part-Time FTEF, calculated per Title 5 section 53310</t>
  </si>
  <si>
    <t xml:space="preserve">Credit instruction and noninstructional activities </t>
  </si>
  <si>
    <t>Exclude any workload attributed to replacing full-time faculty for sabbatical, released/reassigned, paid medical leave, unpaid leave, and for late retirement</t>
  </si>
  <si>
    <t>Total Part-Time FTEF</t>
  </si>
  <si>
    <t>Total FTEF</t>
  </si>
  <si>
    <t>Progress Toward Goal of 75% of Classroom Instruction Taught by Full-Time Faculty</t>
  </si>
  <si>
    <t xml:space="preserve">Fall 2023 FON Compliance </t>
  </si>
  <si>
    <t>Full-time faculty obligation</t>
  </si>
  <si>
    <t>Does the district meet or exceed the Fall 2023 full-time faculty obligation?</t>
  </si>
  <si>
    <t xml:space="preserve">If a district has incurred a penalty, the district will receive an invoice for the penalty amount. </t>
  </si>
  <si>
    <t>Statewide average replacement cost:</t>
  </si>
  <si>
    <t>Estimated penalty is the statewide average replacement cost multiplied by deficiency in meeting the full-time faculty obligation.</t>
  </si>
  <si>
    <t>Printed Name, Title:</t>
  </si>
  <si>
    <t>Digital Signature:</t>
  </si>
  <si>
    <t>District Administrative Contact Information:</t>
  </si>
  <si>
    <t>Fall 2023 Compliance FON</t>
  </si>
  <si>
    <t xml:space="preserve">2021-22 R1 Funded Credit FTES, February 2023
 Exhibit C, Section 1a: FTES Data and Calculations, column i "2021-22 Funded", Credit + Special Admit Credit + Incarcerated Credit.  </t>
  </si>
  <si>
    <t>Select district name from drop down</t>
  </si>
  <si>
    <r>
      <t>Over</t>
    </r>
    <r>
      <rPr>
        <sz val="12"/>
        <color rgb="FFC00000"/>
        <rFont val="Source Sans Pro"/>
        <family val="2"/>
      </rPr>
      <t>(Under)</t>
    </r>
    <r>
      <rPr>
        <sz val="12"/>
        <color theme="1"/>
        <rFont val="Source Sans Pro"/>
        <family val="2"/>
      </rPr>
      <t xml:space="preserve"> full-time faculty obligation</t>
    </r>
  </si>
  <si>
    <r>
      <t>District Executive Officer (</t>
    </r>
    <r>
      <rPr>
        <b/>
        <i/>
        <sz val="12"/>
        <color theme="1"/>
        <rFont val="Source Sans Pro"/>
        <family val="2"/>
      </rPr>
      <t>CEO, CBO, or CHRO</t>
    </r>
    <r>
      <rPr>
        <b/>
        <sz val="12"/>
        <color theme="1"/>
        <rFont val="Source Sans Pro"/>
        <family val="2"/>
      </rPr>
      <t>):</t>
    </r>
  </si>
  <si>
    <t xml:space="preserve">Please complete and return this form by November 1, 2023 to fiscalstandards@cccco.edu </t>
  </si>
  <si>
    <t xml:space="preserve">Enter </t>
  </si>
  <si>
    <t xml:space="preserve">Output </t>
  </si>
  <si>
    <t>Output</t>
  </si>
  <si>
    <t>Percentage Output</t>
  </si>
  <si>
    <t>Automatically populates from Fall 2023 Compliance FON</t>
  </si>
  <si>
    <t>Automatically calculates</t>
  </si>
  <si>
    <t>The percent change in FTES from prior year to current year.
(Change in FTES/Base Credit FTES)</t>
  </si>
  <si>
    <t>Fall 2023 Compliance Form</t>
  </si>
  <si>
    <t>Fall 2023 FON Compliance Form</t>
  </si>
  <si>
    <t>Presented by district includes the prior Fall compliance, district reported, advance, second principal (p2) and compliance FON.</t>
  </si>
  <si>
    <t>Assists district with projecting R1 FON for Fall 2023.</t>
  </si>
  <si>
    <t xml:space="preserve">2022-23 P2 Funded Credit FTES, June 2023
Exhibit C, Section 1a: FTES Data and Calculations, column i, "2022-23 Funded", Credit + Special Admit Credit + Incarcerated Credit.  </t>
  </si>
  <si>
    <t>Workbook Tabs</t>
  </si>
  <si>
    <t>2022-23 P2 Revenue Deficit Percentage.</t>
  </si>
  <si>
    <t>Regular assignment -full-time faculty credit instruction excluding overload</t>
  </si>
  <si>
    <t>Classified staff regular assignment - credit instruction</t>
  </si>
  <si>
    <t>Administrative staff regular assignment - credit instruction</t>
  </si>
  <si>
    <t>Noninstructional activities of counselors, librarians, and other faculty</t>
  </si>
  <si>
    <r>
      <t xml:space="preserve">Enter as a </t>
    </r>
    <r>
      <rPr>
        <b/>
        <sz val="12"/>
        <color theme="1"/>
        <rFont val="Source Sans Pro"/>
        <family val="2"/>
      </rPr>
      <t>negative</t>
    </r>
  </si>
  <si>
    <t xml:space="preserve">Anna Gonzalez, HR Specialist </t>
  </si>
  <si>
    <t>annagonz@kccd.edu</t>
  </si>
  <si>
    <t>661-336-5138</t>
  </si>
  <si>
    <t xml:space="preserve">Mike Giacomini, Chief Financial Officer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</si>
</sst>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000%"/>
    <numFmt numFmtId="165" formatCode="0.0%"/>
    <numFmt numFmtId="166" formatCode="#,##0.0"/>
    <numFmt numFmtId="167" formatCode="_(&quot;$&quot;* #,##0_);_(&quot;$&quot;* \(#,##0\);_(&quot;$&quot;* &quot;-&quot;??_);_(@_)"/>
    <numFmt numFmtId="168" formatCode="#,##0.0000000"/>
    <numFmt numFmtId="169" formatCode="_([$$-409]* #,##0.00_);_([$$-409]* \(#,##0.00\);_([$$-409]* &quot;-&quot;??_);_(@_)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rgb="FF002F6D"/>
      <name val="Crimson"/>
      <family val="1"/>
    </font>
    <font>
      <b/>
      <sz val="11"/>
      <color theme="0"/>
      <name val="Source Sans Pro"/>
      <family val="2"/>
    </font>
    <font>
      <sz val="11"/>
      <color theme="1"/>
      <name val="Source Sans Pro"/>
      <family val="2"/>
    </font>
    <font>
      <b/>
      <sz val="11"/>
      <color theme="1"/>
      <name val="Source Sans Pro"/>
      <family val="2"/>
    </font>
    <font>
      <sz val="11"/>
      <name val="Source Sans Pro"/>
      <family val="2"/>
    </font>
    <font>
      <sz val="11"/>
      <name val="Source Sans Pro"/>
      <family val="2"/>
    </font>
    <font>
      <b/>
      <sz val="11"/>
      <name val="Source Sans Pro"/>
      <family val="2"/>
    </font>
    <font>
      <i/>
      <sz val="10"/>
      <color rgb="FF7F7F7F"/>
      <name val="Calibri"/>
      <family val="2"/>
      <scheme val="minor"/>
    </font>
    <font>
      <b/>
      <i/>
      <sz val="11"/>
      <color theme="0"/>
      <name val="Source Sans Pro"/>
      <family val="2"/>
    </font>
    <font>
      <b/>
      <i/>
      <sz val="9"/>
      <color theme="0"/>
      <name val="Source Sans Pro"/>
      <family val="2"/>
    </font>
    <font>
      <sz val="12"/>
      <color theme="1"/>
      <name val="Source Sans Pro"/>
      <family val="2"/>
    </font>
    <font>
      <b/>
      <sz val="12"/>
      <color theme="1"/>
      <name val="Source Sans Pro"/>
      <family val="2"/>
    </font>
    <font>
      <sz val="12"/>
      <color rgb="FF3F3F76"/>
      <name val="Calibri"/>
      <family val="2"/>
      <scheme val="minor"/>
    </font>
    <font>
      <b/>
      <sz val="14"/>
      <color theme="1"/>
      <name val="Source Sans Pro"/>
      <family val="2"/>
    </font>
    <font>
      <b/>
      <sz val="15"/>
      <color rgb="FF002F6D"/>
      <name val="Source Sans Pro Semibold"/>
      <family val="2"/>
    </font>
    <font>
      <b/>
      <sz val="14"/>
      <color theme="1"/>
      <name val="Source Sans Pro Semibold"/>
      <family val="2"/>
    </font>
    <font>
      <u/>
      <sz val="11"/>
      <color theme="10"/>
      <name val="Calibri"/>
      <family val="2"/>
      <scheme val="minor"/>
    </font>
    <font>
      <b/>
      <sz val="12"/>
      <color theme="0"/>
      <name val="Source Sans Pro"/>
      <family val="2"/>
    </font>
    <font>
      <sz val="12"/>
      <name val="Source Sans Pro"/>
      <family val="2"/>
    </font>
    <font>
      <sz val="11"/>
      <color rgb="FF002F6D"/>
      <name val="Wingdings"/>
      <charset val="2"/>
    </font>
    <font>
      <b/>
      <sz val="14"/>
      <color rgb="FF002F6D"/>
      <name val="Source Sans Pro"/>
      <family val="2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8"/>
      <color theme="3"/>
      <name val="Calibri Light"/>
      <family val="2"/>
      <scheme val="major"/>
    </font>
    <font>
      <b/>
      <sz val="17"/>
      <color rgb="FF002F6D"/>
      <name val="Crimson"/>
      <family val="1"/>
    </font>
    <font>
      <b/>
      <sz val="11"/>
      <color rgb="FF3F3F3F"/>
      <name val="Calibri"/>
      <family val="2"/>
      <scheme val="minor"/>
    </font>
    <font>
      <b/>
      <u/>
      <sz val="11"/>
      <color theme="1"/>
      <name val="Source Sans Pro"/>
      <family val="2"/>
    </font>
    <font>
      <b/>
      <sz val="12"/>
      <color rgb="FF3F3F3F"/>
      <name val="Calibri"/>
      <family val="2"/>
      <scheme val="minor"/>
    </font>
    <font>
      <sz val="12"/>
      <color rgb="FFC00000"/>
      <name val="Source Sans Pro"/>
      <family val="2"/>
    </font>
    <font>
      <b/>
      <sz val="12"/>
      <name val="Source Sans Pro"/>
      <family val="2"/>
    </font>
    <font>
      <b/>
      <i/>
      <sz val="12"/>
      <color theme="1"/>
      <name val="Source Sans Pro"/>
      <family val="2"/>
    </font>
    <font>
      <sz val="12"/>
      <color rgb="FF3F3F76"/>
      <name val="Source Sans Pro"/>
      <family val="2"/>
    </font>
    <font>
      <b/>
      <sz val="12"/>
      <color rgb="FF3F3F3F"/>
      <name val="Source Sans Pro"/>
      <family val="2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0066BA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</fills>
  <borders count="5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medium">
        <color indexed="64"/>
      </right>
      <top style="thin">
        <color theme="4"/>
      </top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 style="medium">
        <color indexed="64"/>
      </right>
      <top style="thin">
        <color theme="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  <border>
      <left/>
      <right style="medium">
        <color indexed="64"/>
      </right>
      <top style="thin">
        <color theme="6" tint="0.39997558519241921"/>
      </top>
      <bottom/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7558519241921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755851924192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/>
      </top>
      <bottom style="thin">
        <color theme="4" tint="0.39994506668294322"/>
      </bottom>
      <diagonal/>
    </border>
    <border>
      <left/>
      <right style="thin">
        <color theme="4" tint="0.39997558519241921"/>
      </right>
      <top style="thin">
        <color theme="4"/>
      </top>
      <bottom style="thin">
        <color theme="4" tint="0.39994506668294322"/>
      </bottom>
      <diagonal/>
    </border>
    <border>
      <left/>
      <right/>
      <top style="thin">
        <color theme="4"/>
      </top>
      <bottom style="thin">
        <color theme="4" tint="0.39994506668294322"/>
      </bottom>
      <diagonal/>
    </border>
    <border>
      <left style="thin">
        <color theme="4" tint="0.39997558519241921"/>
      </left>
      <right/>
      <top style="thin">
        <color theme="4"/>
      </top>
      <bottom style="thin">
        <color theme="4" tint="0.39994506668294322"/>
      </bottom>
      <diagonal/>
    </border>
    <border>
      <left/>
      <right style="thin">
        <color theme="4" tint="0.39997558519241921"/>
      </right>
      <top style="thin">
        <color theme="4"/>
      </top>
      <bottom/>
      <diagonal/>
    </border>
    <border>
      <left style="thin">
        <color theme="4" tint="0.39997558519241921"/>
      </left>
      <right/>
      <top style="thin">
        <color theme="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2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2" applyNumberFormat="0" applyFill="0" applyAlignment="0" applyProtection="0"/>
    <xf numFmtId="0" fontId="27" fillId="0" borderId="0" applyNumberFormat="0" applyFill="0" applyBorder="0" applyAlignment="0" applyProtection="0"/>
    <xf numFmtId="0" fontId="35" fillId="11" borderId="47" applyNumberFormat="0" applyAlignment="0" applyProtection="0"/>
  </cellStyleXfs>
  <cellXfs count="190">
    <xf numFmtId="0" fontId="0" fillId="0" borderId="0" xfId="0"/>
    <xf numFmtId="0" fontId="5" fillId="3" borderId="0" xfId="0" applyFont="1" applyFill="1" applyAlignment="1">
      <alignment horizontal="center"/>
    </xf>
    <xf numFmtId="0" fontId="6" fillId="4" borderId="2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11" fillId="0" borderId="0" xfId="0" applyFont="1"/>
    <xf numFmtId="165" fontId="7" fillId="0" borderId="0" xfId="3" applyNumberFormat="1" applyFont="1"/>
    <xf numFmtId="0" fontId="8" fillId="0" borderId="0" xfId="0" applyFont="1" applyAlignment="1">
      <alignment horizontal="center" wrapText="1"/>
    </xf>
    <xf numFmtId="0" fontId="3" fillId="0" borderId="0" xfId="5"/>
    <xf numFmtId="165" fontId="3" fillId="0" borderId="0" xfId="5" applyNumberFormat="1"/>
    <xf numFmtId="0" fontId="3" fillId="0" borderId="0" xfId="5" applyAlignment="1">
      <alignment wrapText="1"/>
    </xf>
    <xf numFmtId="0" fontId="12" fillId="0" borderId="0" xfId="5" applyFont="1" applyAlignment="1">
      <alignment wrapText="1"/>
    </xf>
    <xf numFmtId="0" fontId="19" fillId="3" borderId="0" xfId="0" applyFont="1" applyFill="1" applyAlignment="1">
      <alignment horizontal="left" vertical="top"/>
    </xf>
    <xf numFmtId="0" fontId="20" fillId="0" borderId="0" xfId="0" applyFont="1"/>
    <xf numFmtId="166" fontId="0" fillId="0" borderId="0" xfId="0" applyNumberFormat="1"/>
    <xf numFmtId="0" fontId="20" fillId="0" borderId="0" xfId="0" applyFont="1" applyAlignment="1">
      <alignment vertical="center"/>
    </xf>
    <xf numFmtId="0" fontId="21" fillId="0" borderId="4" xfId="6" applyBorder="1" applyAlignment="1">
      <alignment horizontal="left" vertical="top" wrapText="1"/>
    </xf>
    <xf numFmtId="0" fontId="21" fillId="0" borderId="4" xfId="6" applyFill="1" applyBorder="1"/>
    <xf numFmtId="0" fontId="22" fillId="4" borderId="5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43" fontId="7" fillId="0" borderId="0" xfId="1" applyFont="1"/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166" fontId="9" fillId="5" borderId="18" xfId="0" applyNumberFormat="1" applyFont="1" applyFill="1" applyBorder="1"/>
    <xf numFmtId="166" fontId="9" fillId="5" borderId="19" xfId="0" applyNumberFormat="1" applyFont="1" applyFill="1" applyBorder="1"/>
    <xf numFmtId="166" fontId="9" fillId="5" borderId="20" xfId="0" applyNumberFormat="1" applyFont="1" applyFill="1" applyBorder="1"/>
    <xf numFmtId="166" fontId="9" fillId="0" borderId="15" xfId="0" applyNumberFormat="1" applyFont="1" applyBorder="1"/>
    <xf numFmtId="166" fontId="9" fillId="0" borderId="16" xfId="0" applyNumberFormat="1" applyFont="1" applyBorder="1"/>
    <xf numFmtId="166" fontId="9" fillId="0" borderId="17" xfId="0" applyNumberFormat="1" applyFont="1" applyBorder="1"/>
    <xf numFmtId="166" fontId="9" fillId="5" borderId="15" xfId="0" applyNumberFormat="1" applyFont="1" applyFill="1" applyBorder="1"/>
    <xf numFmtId="166" fontId="9" fillId="5" borderId="16" xfId="0" applyNumberFormat="1" applyFont="1" applyFill="1" applyBorder="1"/>
    <xf numFmtId="166" fontId="9" fillId="5" borderId="17" xfId="0" applyNumberFormat="1" applyFont="1" applyFill="1" applyBorder="1"/>
    <xf numFmtId="3" fontId="4" fillId="0" borderId="21" xfId="0" applyNumberFormat="1" applyFont="1" applyBorder="1"/>
    <xf numFmtId="166" fontId="4" fillId="0" borderId="22" xfId="0" applyNumberFormat="1" applyFont="1" applyBorder="1"/>
    <xf numFmtId="166" fontId="4" fillId="0" borderId="23" xfId="0" applyNumberFormat="1" applyFont="1" applyBorder="1"/>
    <xf numFmtId="0" fontId="0" fillId="0" borderId="4" xfId="0" applyBorder="1"/>
    <xf numFmtId="165" fontId="6" fillId="4" borderId="8" xfId="3" applyNumberFormat="1" applyFont="1" applyFill="1" applyBorder="1" applyAlignment="1">
      <alignment horizontal="center" vertical="center" wrapText="1"/>
    </xf>
    <xf numFmtId="3" fontId="9" fillId="5" borderId="18" xfId="0" applyNumberFormat="1" applyFont="1" applyFill="1" applyBorder="1"/>
    <xf numFmtId="43" fontId="9" fillId="5" borderId="19" xfId="1" applyFont="1" applyFill="1" applyBorder="1"/>
    <xf numFmtId="164" fontId="9" fillId="5" borderId="19" xfId="3" applyNumberFormat="1" applyFont="1" applyFill="1" applyBorder="1"/>
    <xf numFmtId="41" fontId="9" fillId="5" borderId="19" xfId="2" applyFont="1" applyFill="1" applyBorder="1"/>
    <xf numFmtId="10" fontId="9" fillId="5" borderId="19" xfId="3" applyNumberFormat="1" applyFont="1" applyFill="1" applyBorder="1"/>
    <xf numFmtId="41" fontId="9" fillId="5" borderId="19" xfId="0" applyNumberFormat="1" applyFont="1" applyFill="1" applyBorder="1"/>
    <xf numFmtId="166" fontId="10" fillId="5" borderId="20" xfId="1" applyNumberFormat="1" applyFont="1" applyFill="1" applyBorder="1"/>
    <xf numFmtId="3" fontId="9" fillId="0" borderId="29" xfId="0" applyNumberFormat="1" applyFont="1" applyBorder="1"/>
    <xf numFmtId="166" fontId="9" fillId="0" borderId="30" xfId="0" applyNumberFormat="1" applyFont="1" applyBorder="1"/>
    <xf numFmtId="43" fontId="9" fillId="0" borderId="30" xfId="1" applyFont="1" applyBorder="1"/>
    <xf numFmtId="164" fontId="9" fillId="0" borderId="30" xfId="3" applyNumberFormat="1" applyFont="1" applyBorder="1"/>
    <xf numFmtId="41" fontId="9" fillId="0" borderId="30" xfId="2" applyFont="1" applyBorder="1"/>
    <xf numFmtId="10" fontId="9" fillId="0" borderId="30" xfId="3" applyNumberFormat="1" applyFont="1" applyBorder="1"/>
    <xf numFmtId="41" fontId="9" fillId="0" borderId="30" xfId="0" applyNumberFormat="1" applyFont="1" applyBorder="1"/>
    <xf numFmtId="166" fontId="10" fillId="0" borderId="31" xfId="0" applyNumberFormat="1" applyFont="1" applyBorder="1"/>
    <xf numFmtId="3" fontId="9" fillId="5" borderId="29" xfId="0" applyNumberFormat="1" applyFont="1" applyFill="1" applyBorder="1"/>
    <xf numFmtId="166" fontId="9" fillId="5" borderId="30" xfId="0" applyNumberFormat="1" applyFont="1" applyFill="1" applyBorder="1"/>
    <xf numFmtId="43" fontId="9" fillId="5" borderId="30" xfId="1" applyFont="1" applyFill="1" applyBorder="1"/>
    <xf numFmtId="164" fontId="9" fillId="5" borderId="30" xfId="3" applyNumberFormat="1" applyFont="1" applyFill="1" applyBorder="1"/>
    <xf numFmtId="41" fontId="9" fillId="5" borderId="30" xfId="2" applyFont="1" applyFill="1" applyBorder="1"/>
    <xf numFmtId="10" fontId="9" fillId="5" borderId="30" xfId="3" applyNumberFormat="1" applyFont="1" applyFill="1" applyBorder="1"/>
    <xf numFmtId="41" fontId="9" fillId="5" borderId="30" xfId="0" applyNumberFormat="1" applyFont="1" applyFill="1" applyBorder="1"/>
    <xf numFmtId="166" fontId="10" fillId="5" borderId="31" xfId="0" applyNumberFormat="1" applyFont="1" applyFill="1" applyBorder="1"/>
    <xf numFmtId="0" fontId="11" fillId="0" borderId="26" xfId="0" applyFont="1" applyBorder="1"/>
    <xf numFmtId="166" fontId="11" fillId="0" borderId="27" xfId="0" applyNumberFormat="1" applyFont="1" applyBorder="1"/>
    <xf numFmtId="43" fontId="11" fillId="0" borderId="27" xfId="0" applyNumberFormat="1" applyFont="1" applyBorder="1"/>
    <xf numFmtId="164" fontId="11" fillId="0" borderId="27" xfId="0" applyNumberFormat="1" applyFont="1" applyBorder="1" applyAlignment="1">
      <alignment horizontal="right"/>
    </xf>
    <xf numFmtId="41" fontId="11" fillId="0" borderId="27" xfId="0" applyNumberFormat="1" applyFont="1" applyBorder="1"/>
    <xf numFmtId="10" fontId="11" fillId="0" borderId="27" xfId="0" applyNumberFormat="1" applyFont="1" applyBorder="1"/>
    <xf numFmtId="166" fontId="11" fillId="0" borderId="28" xfId="0" applyNumberFormat="1" applyFont="1" applyBorder="1"/>
    <xf numFmtId="168" fontId="7" fillId="0" borderId="0" xfId="0" applyNumberFormat="1" applyFont="1"/>
    <xf numFmtId="0" fontId="0" fillId="0" borderId="0" xfId="0" applyAlignment="1">
      <alignment horizontal="right"/>
    </xf>
    <xf numFmtId="41" fontId="29" fillId="7" borderId="33" xfId="2" applyFont="1" applyFill="1" applyBorder="1" applyAlignment="1">
      <alignment horizontal="center"/>
    </xf>
    <xf numFmtId="41" fontId="29" fillId="7" borderId="34" xfId="2" applyFont="1" applyFill="1" applyBorder="1" applyAlignment="1">
      <alignment horizontal="center"/>
    </xf>
    <xf numFmtId="41" fontId="29" fillId="7" borderId="35" xfId="2" applyFont="1" applyFill="1" applyBorder="1" applyAlignment="1">
      <alignment horizontal="center"/>
    </xf>
    <xf numFmtId="0" fontId="29" fillId="7" borderId="35" xfId="0" applyFont="1" applyFill="1" applyBorder="1" applyAlignment="1">
      <alignment horizontal="center"/>
    </xf>
    <xf numFmtId="0" fontId="29" fillId="7" borderId="36" xfId="0" applyFont="1" applyFill="1" applyBorder="1" applyAlignment="1">
      <alignment horizontal="center"/>
    </xf>
    <xf numFmtId="41" fontId="29" fillId="0" borderId="33" xfId="2" applyFont="1" applyBorder="1" applyAlignment="1">
      <alignment horizontal="center"/>
    </xf>
    <xf numFmtId="41" fontId="29" fillId="0" borderId="34" xfId="2" applyFont="1" applyBorder="1" applyAlignment="1">
      <alignment horizontal="center"/>
    </xf>
    <xf numFmtId="41" fontId="29" fillId="0" borderId="35" xfId="2" applyFont="1" applyBorder="1" applyAlignment="1">
      <alignment horizontal="center"/>
    </xf>
    <xf numFmtId="0" fontId="29" fillId="0" borderId="35" xfId="0" applyFont="1" applyBorder="1" applyAlignment="1">
      <alignment horizontal="center"/>
    </xf>
    <xf numFmtId="0" fontId="29" fillId="0" borderId="36" xfId="0" applyFont="1" applyBorder="1" applyAlignment="1">
      <alignment horizontal="center"/>
    </xf>
    <xf numFmtId="42" fontId="29" fillId="7" borderId="37" xfId="7" applyFont="1" applyFill="1" applyBorder="1" applyAlignment="1">
      <alignment horizontal="center"/>
    </xf>
    <xf numFmtId="42" fontId="29" fillId="7" borderId="38" xfId="7" applyFont="1" applyFill="1" applyBorder="1" applyAlignment="1">
      <alignment horizontal="center"/>
    </xf>
    <xf numFmtId="42" fontId="29" fillId="7" borderId="39" xfId="7" applyFont="1" applyFill="1" applyBorder="1" applyAlignment="1">
      <alignment horizontal="center"/>
    </xf>
    <xf numFmtId="0" fontId="29" fillId="7" borderId="39" xfId="0" applyFont="1" applyFill="1" applyBorder="1" applyAlignment="1">
      <alignment horizontal="center"/>
    </xf>
    <xf numFmtId="0" fontId="29" fillId="7" borderId="40" xfId="0" applyFont="1" applyFill="1" applyBorder="1" applyAlignment="1">
      <alignment horizontal="center"/>
    </xf>
    <xf numFmtId="0" fontId="28" fillId="8" borderId="16" xfId="10" applyFont="1" applyFill="1" applyBorder="1" applyAlignment="1">
      <alignment horizontal="center" wrapText="1"/>
    </xf>
    <xf numFmtId="0" fontId="28" fillId="8" borderId="41" xfId="10" applyFont="1" applyFill="1" applyBorder="1" applyAlignment="1">
      <alignment horizontal="center" wrapText="1"/>
    </xf>
    <xf numFmtId="0" fontId="28" fillId="8" borderId="16" xfId="10" applyFont="1" applyFill="1" applyBorder="1" applyAlignment="1">
      <alignment horizontal="center"/>
    </xf>
    <xf numFmtId="0" fontId="4" fillId="0" borderId="0" xfId="0" quotePrefix="1" applyFont="1" applyAlignment="1">
      <alignment horizontal="center"/>
    </xf>
    <xf numFmtId="43" fontId="0" fillId="0" borderId="0" xfId="1" applyFont="1"/>
    <xf numFmtId="169" fontId="0" fillId="0" borderId="43" xfId="1" applyNumberFormat="1" applyFont="1" applyBorder="1"/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43" fontId="0" fillId="0" borderId="24" xfId="1" applyFont="1" applyBorder="1"/>
    <xf numFmtId="43" fontId="0" fillId="0" borderId="25" xfId="0" applyNumberFormat="1" applyBorder="1"/>
    <xf numFmtId="43" fontId="0" fillId="0" borderId="0" xfId="0" applyNumberFormat="1"/>
    <xf numFmtId="169" fontId="2" fillId="2" borderId="1" xfId="4" applyNumberFormat="1"/>
    <xf numFmtId="0" fontId="4" fillId="0" borderId="0" xfId="0" applyFont="1"/>
    <xf numFmtId="43" fontId="0" fillId="0" borderId="0" xfId="1" applyFont="1" applyBorder="1"/>
    <xf numFmtId="43" fontId="2" fillId="2" borderId="1" xfId="4" applyNumberForma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24" fillId="9" borderId="0" xfId="0" applyFont="1" applyFill="1"/>
    <xf numFmtId="0" fontId="0" fillId="9" borderId="0" xfId="0" applyFill="1"/>
    <xf numFmtId="0" fontId="7" fillId="9" borderId="0" xfId="0" applyFont="1" applyFill="1"/>
    <xf numFmtId="0" fontId="15" fillId="9" borderId="0" xfId="0" applyFont="1" applyFill="1"/>
    <xf numFmtId="0" fontId="15" fillId="9" borderId="0" xfId="0" quotePrefix="1" applyFont="1" applyFill="1"/>
    <xf numFmtId="0" fontId="0" fillId="3" borderId="0" xfId="0" applyFill="1"/>
    <xf numFmtId="0" fontId="18" fillId="3" borderId="7" xfId="0" applyFont="1" applyFill="1" applyBorder="1"/>
    <xf numFmtId="0" fontId="15" fillId="3" borderId="8" xfId="0" applyFont="1" applyFill="1" applyBorder="1"/>
    <xf numFmtId="0" fontId="16" fillId="3" borderId="10" xfId="0" applyFont="1" applyFill="1" applyBorder="1" applyAlignment="1">
      <alignment horizontal="left" vertical="top"/>
    </xf>
    <xf numFmtId="0" fontId="15" fillId="3" borderId="9" xfId="0" applyFont="1" applyFill="1" applyBorder="1" applyAlignment="1">
      <alignment horizontal="right"/>
    </xf>
    <xf numFmtId="0" fontId="16" fillId="3" borderId="10" xfId="0" applyFont="1" applyFill="1" applyBorder="1"/>
    <xf numFmtId="0" fontId="15" fillId="3" borderId="10" xfId="0" applyFont="1" applyFill="1" applyBorder="1"/>
    <xf numFmtId="39" fontId="17" fillId="3" borderId="14" xfId="4" applyNumberFormat="1" applyFont="1" applyFill="1" applyBorder="1" applyAlignment="1" applyProtection="1">
      <alignment horizontal="right"/>
      <protection locked="0"/>
    </xf>
    <xf numFmtId="164" fontId="17" fillId="3" borderId="14" xfId="4" applyNumberFormat="1" applyFont="1" applyFill="1" applyBorder="1" applyAlignment="1" applyProtection="1">
      <alignment horizontal="right"/>
      <protection locked="0"/>
    </xf>
    <xf numFmtId="0" fontId="15" fillId="3" borderId="10" xfId="0" applyFont="1" applyFill="1" applyBorder="1" applyAlignment="1">
      <alignment horizontal="right"/>
    </xf>
    <xf numFmtId="4" fontId="15" fillId="3" borderId="9" xfId="0" applyNumberFormat="1" applyFont="1" applyFill="1" applyBorder="1" applyAlignment="1">
      <alignment horizontal="right"/>
    </xf>
    <xf numFmtId="4" fontId="15" fillId="3" borderId="9" xfId="1" applyNumberFormat="1" applyFont="1" applyFill="1" applyBorder="1" applyAlignment="1" applyProtection="1">
      <alignment horizontal="right"/>
    </xf>
    <xf numFmtId="10" fontId="15" fillId="3" borderId="9" xfId="0" applyNumberFormat="1" applyFont="1" applyFill="1" applyBorder="1" applyAlignment="1">
      <alignment horizontal="right"/>
    </xf>
    <xf numFmtId="39" fontId="15" fillId="3" borderId="9" xfId="1" applyNumberFormat="1" applyFont="1" applyFill="1" applyBorder="1" applyAlignment="1" applyProtection="1">
      <alignment horizontal="right"/>
    </xf>
    <xf numFmtId="10" fontId="15" fillId="3" borderId="9" xfId="3" applyNumberFormat="1" applyFont="1" applyFill="1" applyBorder="1" applyAlignment="1" applyProtection="1">
      <alignment horizontal="right"/>
    </xf>
    <xf numFmtId="4" fontId="15" fillId="3" borderId="9" xfId="0" quotePrefix="1" applyNumberFormat="1" applyFont="1" applyFill="1" applyBorder="1" applyAlignment="1">
      <alignment horizontal="right"/>
    </xf>
    <xf numFmtId="0" fontId="15" fillId="3" borderId="12" xfId="0" applyFont="1" applyFill="1" applyBorder="1"/>
    <xf numFmtId="0" fontId="15" fillId="3" borderId="13" xfId="0" applyFont="1" applyFill="1" applyBorder="1"/>
    <xf numFmtId="0" fontId="0" fillId="9" borderId="0" xfId="0" applyFill="1" applyAlignment="1">
      <alignment horizontal="center"/>
    </xf>
    <xf numFmtId="0" fontId="25" fillId="6" borderId="46" xfId="0" applyFont="1" applyFill="1" applyBorder="1" applyAlignment="1" applyProtection="1">
      <alignment horizontal="center"/>
      <protection locked="0"/>
    </xf>
    <xf numFmtId="0" fontId="15" fillId="3" borderId="11" xfId="0" applyFont="1" applyFill="1" applyBorder="1"/>
    <xf numFmtId="0" fontId="15" fillId="3" borderId="0" xfId="0" applyFont="1" applyFill="1"/>
    <xf numFmtId="4" fontId="15" fillId="3" borderId="45" xfId="0" applyNumberFormat="1" applyFont="1" applyFill="1" applyBorder="1" applyAlignment="1">
      <alignment horizontal="right"/>
    </xf>
    <xf numFmtId="0" fontId="28" fillId="8" borderId="42" xfId="10" applyFont="1" applyFill="1" applyBorder="1" applyAlignment="1">
      <alignment horizontal="center" wrapText="1"/>
    </xf>
    <xf numFmtId="0" fontId="7" fillId="10" borderId="0" xfId="0" applyFont="1" applyFill="1"/>
    <xf numFmtId="0" fontId="34" fillId="3" borderId="0" xfId="0" applyFont="1" applyFill="1"/>
    <xf numFmtId="0" fontId="5" fillId="3" borderId="0" xfId="0" applyFont="1" applyFill="1"/>
    <xf numFmtId="0" fontId="5" fillId="10" borderId="0" xfId="0" applyFont="1" applyFill="1"/>
    <xf numFmtId="0" fontId="7" fillId="10" borderId="0" xfId="0" applyFont="1" applyFill="1" applyAlignment="1">
      <alignment horizontal="right"/>
    </xf>
    <xf numFmtId="0" fontId="36" fillId="9" borderId="0" xfId="0" applyFont="1" applyFill="1"/>
    <xf numFmtId="0" fontId="16" fillId="9" borderId="0" xfId="0" applyFont="1" applyFill="1"/>
    <xf numFmtId="0" fontId="16" fillId="3" borderId="0" xfId="0" applyFont="1" applyFill="1"/>
    <xf numFmtId="0" fontId="15" fillId="3" borderId="0" xfId="0" applyFont="1" applyFill="1" applyAlignment="1">
      <alignment horizontal="left" vertical="top" wrapText="1"/>
    </xf>
    <xf numFmtId="0" fontId="15" fillId="3" borderId="0" xfId="0" applyFont="1" applyFill="1" applyAlignment="1">
      <alignment horizontal="right"/>
    </xf>
    <xf numFmtId="0" fontId="15" fillId="3" borderId="0" xfId="0" applyFont="1" applyFill="1" applyAlignment="1">
      <alignment wrapText="1"/>
    </xf>
    <xf numFmtId="0" fontId="15" fillId="3" borderId="0" xfId="0" applyFont="1" applyFill="1" applyAlignment="1">
      <alignment vertical="top" wrapText="1"/>
    </xf>
    <xf numFmtId="42" fontId="15" fillId="3" borderId="0" xfId="7" applyFont="1" applyFill="1" applyBorder="1" applyAlignment="1" applyProtection="1"/>
    <xf numFmtId="0" fontId="15" fillId="3" borderId="0" xfId="0" applyFont="1" applyFill="1" applyProtection="1">
      <protection locked="0"/>
    </xf>
    <xf numFmtId="0" fontId="15" fillId="3" borderId="0" xfId="0" applyFont="1" applyFill="1" applyAlignment="1">
      <alignment vertical="top"/>
    </xf>
    <xf numFmtId="0" fontId="15" fillId="3" borderId="25" xfId="0" applyFont="1" applyFill="1" applyBorder="1"/>
    <xf numFmtId="0" fontId="15" fillId="3" borderId="0" xfId="0" applyFont="1" applyFill="1" applyAlignment="1" applyProtection="1">
      <alignment horizontal="right"/>
      <protection locked="0"/>
    </xf>
    <xf numFmtId="0" fontId="15" fillId="3" borderId="0" xfId="0" applyFont="1" applyFill="1" applyAlignment="1">
      <alignment horizontal="left"/>
    </xf>
    <xf numFmtId="0" fontId="15" fillId="3" borderId="0" xfId="0" applyFont="1" applyFill="1" applyAlignment="1" applyProtection="1">
      <alignment horizontal="left"/>
      <protection locked="0"/>
    </xf>
    <xf numFmtId="0" fontId="16" fillId="3" borderId="0" xfId="0" applyFont="1" applyFill="1" applyAlignment="1">
      <alignment horizontal="right"/>
    </xf>
    <xf numFmtId="43" fontId="35" fillId="11" borderId="47" xfId="11" applyNumberFormat="1"/>
    <xf numFmtId="43" fontId="41" fillId="2" borderId="1" xfId="4" applyNumberFormat="1" applyFont="1"/>
    <xf numFmtId="43" fontId="42" fillId="11" borderId="47" xfId="11" applyNumberFormat="1" applyFont="1"/>
    <xf numFmtId="0" fontId="39" fillId="3" borderId="0" xfId="0" applyFont="1" applyFill="1" applyAlignment="1">
      <alignment horizontal="right"/>
    </xf>
    <xf numFmtId="9" fontId="42" fillId="11" borderId="47" xfId="3" applyFont="1" applyFill="1" applyBorder="1" applyAlignment="1">
      <alignment horizontal="right"/>
    </xf>
    <xf numFmtId="0" fontId="15" fillId="3" borderId="0" xfId="0" quotePrefix="1" applyFont="1" applyFill="1" applyAlignment="1">
      <alignment horizontal="left"/>
    </xf>
    <xf numFmtId="0" fontId="18" fillId="3" borderId="0" xfId="0" applyFont="1" applyFill="1"/>
    <xf numFmtId="167" fontId="43" fillId="11" borderId="47" xfId="11" applyNumberFormat="1" applyFont="1" applyAlignment="1" applyProtection="1"/>
    <xf numFmtId="0" fontId="18" fillId="3" borderId="0" xfId="0" applyFont="1" applyFill="1" applyAlignment="1">
      <alignment horizontal="right"/>
    </xf>
    <xf numFmtId="0" fontId="37" fillId="11" borderId="48" xfId="11" applyFont="1" applyBorder="1" applyAlignment="1">
      <alignment horizontal="center" vertical="center"/>
    </xf>
    <xf numFmtId="0" fontId="37" fillId="11" borderId="49" xfId="11" applyFont="1" applyBorder="1" applyAlignment="1">
      <alignment horizontal="center" vertical="center"/>
    </xf>
    <xf numFmtId="0" fontId="31" fillId="0" borderId="10" xfId="0" applyFont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31" fillId="0" borderId="9" xfId="0" applyFont="1" applyBorder="1" applyAlignment="1">
      <alignment horizontal="center" wrapText="1"/>
    </xf>
    <xf numFmtId="0" fontId="31" fillId="0" borderId="12" xfId="0" applyFont="1" applyBorder="1" applyAlignment="1">
      <alignment horizontal="center" wrapText="1"/>
    </xf>
    <xf numFmtId="0" fontId="31" fillId="0" borderId="13" xfId="0" applyFont="1" applyBorder="1" applyAlignment="1">
      <alignment horizontal="center" wrapText="1"/>
    </xf>
    <xf numFmtId="0" fontId="33" fillId="0" borderId="0" xfId="8" applyFont="1" applyAlignment="1">
      <alignment horizontal="center"/>
    </xf>
    <xf numFmtId="14" fontId="32" fillId="0" borderId="0" xfId="8" quotePrefix="1" applyNumberFormat="1" applyFont="1" applyAlignment="1">
      <alignment horizontal="left"/>
    </xf>
    <xf numFmtId="0" fontId="0" fillId="0" borderId="0" xfId="0" applyAlignment="1">
      <alignment horizontal="left" wrapText="1"/>
    </xf>
    <xf numFmtId="0" fontId="4" fillId="0" borderId="7" xfId="0" applyFont="1" applyBorder="1" applyAlignment="1">
      <alignment horizontal="left" indent="1"/>
    </xf>
    <xf numFmtId="0" fontId="4" fillId="0" borderId="8" xfId="0" applyFont="1" applyBorder="1" applyAlignment="1">
      <alignment horizontal="left" indent="1"/>
    </xf>
    <xf numFmtId="0" fontId="4" fillId="0" borderId="11" xfId="0" applyFont="1" applyBorder="1" applyAlignment="1">
      <alignment horizontal="left" indent="1"/>
    </xf>
    <xf numFmtId="0" fontId="30" fillId="0" borderId="0" xfId="0" applyFont="1" applyAlignment="1">
      <alignment horizontal="center" wrapText="1"/>
    </xf>
    <xf numFmtId="0" fontId="0" fillId="0" borderId="44" xfId="0" applyBorder="1" applyAlignment="1">
      <alignment horizontal="left" wrapText="1"/>
    </xf>
    <xf numFmtId="0" fontId="27" fillId="0" borderId="0" xfId="9" applyBorder="1" applyAlignment="1">
      <alignment horizontal="center"/>
    </xf>
    <xf numFmtId="0" fontId="31" fillId="0" borderId="45" xfId="0" applyFont="1" applyBorder="1" applyAlignment="1">
      <alignment horizontal="center" wrapText="1"/>
    </xf>
    <xf numFmtId="0" fontId="31" fillId="0" borderId="0" xfId="0" applyFont="1" applyAlignment="1">
      <alignment horizontal="center"/>
    </xf>
    <xf numFmtId="0" fontId="31" fillId="0" borderId="9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21" fillId="3" borderId="25" xfId="6" applyFill="1" applyBorder="1"/>
  </cellXfs>
  <cellStyles count="12">
    <cellStyle name="Comma" xfId="1" builtinId="3"/>
    <cellStyle name="Comma [0]" xfId="2" builtinId="6"/>
    <cellStyle name="Currency [0]" xfId="7" builtinId="7"/>
    <cellStyle name="Explanatory Text" xfId="5" builtinId="53"/>
    <cellStyle name="Heading 3" xfId="9" builtinId="18"/>
    <cellStyle name="Heading 4" xfId="10" builtinId="19"/>
    <cellStyle name="Hyperlink" xfId="6" builtinId="8"/>
    <cellStyle name="Input" xfId="4" builtinId="20"/>
    <cellStyle name="Normal" xfId="0" builtinId="0"/>
    <cellStyle name="Output" xfId="11" builtinId="21"/>
    <cellStyle name="Percent" xfId="3" builtinId="5"/>
    <cellStyle name="Title" xfId="8" builtinId="15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nnagonz@k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CE0B-C7E2-475C-A067-57059489FF1D}">
  <sheetPr>
    <pageSetUpPr fitToPage="1"/>
  </sheetPr>
  <dimension ref="A1:C12"/>
  <sheetViews>
    <sheetView showGridLines="0" workbookViewId="0">
      <selection activeCell="B6" sqref="B6"/>
    </sheetView>
  </sheetViews>
  <sheetFormatPr defaultRowHeight="15"/>
  <cols>
    <col min="1" max="1" width="3.5703125" customWidth="1"/>
    <col min="2" max="2" width="42.140625" customWidth="1"/>
    <col min="3" max="3" width="64.5703125" customWidth="1"/>
  </cols>
  <sheetData>
    <row r="1" spans="1:3" ht="25.15" customHeight="1">
      <c r="A1" s="18" t="s">
        <v>0</v>
      </c>
      <c r="B1" s="1"/>
      <c r="C1" s="1"/>
    </row>
    <row r="2" spans="1:3" ht="25.15" customHeight="1">
      <c r="A2" s="18" t="s">
        <v>2</v>
      </c>
    </row>
    <row r="3" spans="1:3" ht="25.15" customHeight="1">
      <c r="A3" s="18" t="s">
        <v>1</v>
      </c>
    </row>
    <row r="4" spans="1:3" ht="15.75" thickBot="1"/>
    <row r="5" spans="1:3" ht="30" customHeight="1">
      <c r="B5" s="2" t="s">
        <v>265</v>
      </c>
      <c r="C5" s="3" t="s">
        <v>122</v>
      </c>
    </row>
    <row r="6" spans="1:3" ht="30" customHeight="1">
      <c r="B6" s="23" t="s">
        <v>261</v>
      </c>
      <c r="C6" s="4" t="s">
        <v>146</v>
      </c>
    </row>
    <row r="7" spans="1:3" ht="30" customHeight="1">
      <c r="B7" s="23" t="s">
        <v>247</v>
      </c>
      <c r="C7" s="4" t="s">
        <v>262</v>
      </c>
    </row>
    <row r="8" spans="1:3" ht="30" customHeight="1">
      <c r="B8" s="23" t="s">
        <v>4</v>
      </c>
      <c r="C8" s="4" t="s">
        <v>142</v>
      </c>
    </row>
    <row r="9" spans="1:3" ht="30" customHeight="1">
      <c r="B9" s="23" t="s">
        <v>140</v>
      </c>
      <c r="C9" s="4" t="s">
        <v>141</v>
      </c>
    </row>
    <row r="10" spans="1:3" ht="30" customHeight="1">
      <c r="B10" s="23" t="s">
        <v>3</v>
      </c>
      <c r="C10" s="4" t="s">
        <v>263</v>
      </c>
    </row>
    <row r="11" spans="1:3" ht="30" customHeight="1">
      <c r="B11" s="23" t="s">
        <v>144</v>
      </c>
      <c r="C11" s="4" t="s">
        <v>145</v>
      </c>
    </row>
    <row r="12" spans="1:3">
      <c r="B12" s="44" t="s">
        <v>143</v>
      </c>
      <c r="C12" s="44"/>
    </row>
  </sheetData>
  <hyperlinks>
    <hyperlink ref="B9" location="'Fall 2023 P2 FON Calculation'!A1" display="Fall 2023 P2 FON Calculation" xr:uid="{57179478-8A40-4868-8FD5-B7472FE4E093}"/>
    <hyperlink ref="B7" location="'Fall 2023 Compliance FON'!G4" display="Fall 2023 Compliance FON" xr:uid="{4D8550DC-F9ED-4AF3-967A-80F0D7FE4B06}"/>
    <hyperlink ref="B10" location="'FON Estimator'!C5" display="FON Estimator" xr:uid="{687A2F05-8D0C-442E-81B6-4C07948E7D8A}"/>
    <hyperlink ref="B8" location="Definitions!A1" display="Defintions" xr:uid="{56F3C17B-85D6-4DEF-9F1F-DA345C8EDB87}"/>
    <hyperlink ref="B6" location="'Fall 2023 FON Compliance Form'!C6" display="Fall 2023 FON Compliance Form" xr:uid="{9EB9AE9F-1E34-404E-A550-F060383F569F}"/>
    <hyperlink ref="B11" location="ReplacementCost!A1" display="Replacement Cost " xr:uid="{A77C5B41-BABD-44CD-9E7B-54C6D35332F6}"/>
  </hyperlinks>
  <pageMargins left="0.7" right="0.7" top="0.75" bottom="0.75" header="0.3" footer="0.3"/>
  <pageSetup scale="82" orientation="portrait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C8AE6-3704-46CD-9C90-782BEA2A26D5}">
  <sheetPr>
    <pageSetUpPr fitToPage="1"/>
  </sheetPr>
  <dimension ref="A2:I53"/>
  <sheetViews>
    <sheetView tabSelected="1" topLeftCell="A34" zoomScaleNormal="100" workbookViewId="0">
      <selection activeCell="C47" sqref="C47"/>
    </sheetView>
  </sheetViews>
  <sheetFormatPr defaultColWidth="9.140625" defaultRowHeight="15"/>
  <cols>
    <col min="1" max="1" width="5.85546875" style="140" customWidth="1"/>
    <col min="2" max="2" width="5.5703125" style="140" customWidth="1"/>
    <col min="3" max="3" width="103" style="140" customWidth="1"/>
    <col min="4" max="4" width="13.42578125" style="140" customWidth="1"/>
    <col min="5" max="5" width="16.42578125" style="140" customWidth="1"/>
    <col min="6" max="6" width="3.85546875" style="140" customWidth="1"/>
    <col min="7" max="7" width="56.42578125" style="140" customWidth="1"/>
    <col min="8" max="8" width="33" style="140" customWidth="1"/>
    <col min="9" max="9" width="5.5703125" style="140" customWidth="1"/>
    <col min="10" max="16384" width="9.140625" style="140"/>
  </cols>
  <sheetData>
    <row r="2" spans="2:9" ht="21.75">
      <c r="B2" s="141" t="s">
        <v>0</v>
      </c>
      <c r="C2" s="142"/>
      <c r="D2" s="142"/>
      <c r="E2" s="142"/>
      <c r="F2" s="143"/>
      <c r="G2" s="143"/>
      <c r="H2" s="143"/>
    </row>
    <row r="3" spans="2:9" ht="21.75">
      <c r="B3" s="141" t="s">
        <v>157</v>
      </c>
      <c r="C3" s="142"/>
      <c r="D3" s="142"/>
      <c r="E3" s="142"/>
      <c r="F3" s="143"/>
      <c r="G3" s="143"/>
      <c r="H3" s="143"/>
    </row>
    <row r="4" spans="2:9" ht="21.75">
      <c r="B4" s="141" t="s">
        <v>260</v>
      </c>
      <c r="C4" s="142"/>
      <c r="D4" s="142"/>
      <c r="E4" s="142"/>
      <c r="F4" s="146" t="s">
        <v>156</v>
      </c>
      <c r="G4" s="113"/>
      <c r="H4" s="113"/>
      <c r="I4" s="113"/>
    </row>
    <row r="5" spans="2:9" ht="23.1" customHeight="1">
      <c r="B5" s="166" t="s">
        <v>20</v>
      </c>
      <c r="C5" s="137"/>
      <c r="D5" s="137"/>
      <c r="E5" s="137"/>
      <c r="F5" s="111"/>
      <c r="G5" s="114"/>
      <c r="H5" s="113"/>
      <c r="I5" s="113"/>
    </row>
    <row r="6" spans="2:9" ht="23.1" customHeight="1">
      <c r="B6" s="147"/>
      <c r="C6" s="169" t="s">
        <v>43</v>
      </c>
      <c r="D6" s="170"/>
      <c r="E6" s="137"/>
      <c r="F6" s="111" t="s">
        <v>154</v>
      </c>
      <c r="G6" s="114" t="s">
        <v>249</v>
      </c>
      <c r="H6" s="113"/>
      <c r="I6" s="113"/>
    </row>
    <row r="7" spans="2:9" ht="23.1" customHeight="1">
      <c r="B7" s="137"/>
      <c r="C7" s="137"/>
      <c r="D7" s="137"/>
      <c r="E7" s="137"/>
      <c r="F7" s="111"/>
      <c r="G7" s="114"/>
      <c r="H7" s="113"/>
      <c r="I7" s="113"/>
    </row>
    <row r="8" spans="2:9" ht="23.1" customHeight="1">
      <c r="B8" s="166" t="s">
        <v>226</v>
      </c>
      <c r="C8" s="137"/>
      <c r="D8" s="137"/>
      <c r="E8" s="137"/>
      <c r="F8" s="145"/>
      <c r="G8" s="145"/>
      <c r="H8" s="113"/>
      <c r="I8" s="113"/>
    </row>
    <row r="9" spans="2:9" ht="47.25">
      <c r="B9" s="137"/>
      <c r="C9" s="151" t="s">
        <v>227</v>
      </c>
      <c r="D9" s="137"/>
      <c r="E9" s="137"/>
      <c r="F9" s="113"/>
      <c r="G9" s="113"/>
      <c r="H9" s="113"/>
      <c r="I9" s="113"/>
    </row>
    <row r="10" spans="2:9" ht="5.0999999999999996" customHeight="1">
      <c r="B10" s="147"/>
      <c r="C10" s="137"/>
      <c r="D10" s="137"/>
      <c r="E10" s="137"/>
      <c r="F10" s="111"/>
      <c r="G10" s="113"/>
      <c r="H10" s="113"/>
      <c r="I10" s="113"/>
    </row>
    <row r="11" spans="2:9" ht="23.1" customHeight="1">
      <c r="B11" s="166" t="s">
        <v>228</v>
      </c>
      <c r="C11" s="137"/>
      <c r="D11" s="147" t="s">
        <v>229</v>
      </c>
      <c r="E11" s="137"/>
      <c r="F11" s="113"/>
      <c r="G11" s="113"/>
      <c r="H11" s="113"/>
      <c r="I11" s="113"/>
    </row>
    <row r="12" spans="2:9" ht="23.1" customHeight="1">
      <c r="B12" s="147"/>
      <c r="C12" s="154" t="s">
        <v>267</v>
      </c>
      <c r="D12" s="161">
        <v>450</v>
      </c>
      <c r="E12" s="137"/>
      <c r="F12" s="111" t="s">
        <v>154</v>
      </c>
      <c r="G12" s="114" t="s">
        <v>253</v>
      </c>
      <c r="H12" s="113"/>
      <c r="I12" s="113"/>
    </row>
    <row r="13" spans="2:9" ht="23.1" customHeight="1">
      <c r="B13" s="147"/>
      <c r="C13" s="148" t="s">
        <v>230</v>
      </c>
      <c r="D13" s="137"/>
      <c r="E13" s="137"/>
      <c r="F13" s="111"/>
      <c r="G13" s="114"/>
      <c r="H13" s="113"/>
      <c r="I13" s="113"/>
    </row>
    <row r="14" spans="2:9" ht="23.1" customHeight="1">
      <c r="B14" s="147"/>
      <c r="C14" s="154" t="s">
        <v>268</v>
      </c>
      <c r="D14" s="161">
        <v>0</v>
      </c>
      <c r="E14" s="137"/>
      <c r="F14" s="111" t="s">
        <v>154</v>
      </c>
      <c r="G14" s="114" t="s">
        <v>253</v>
      </c>
      <c r="H14" s="113"/>
      <c r="I14" s="113"/>
    </row>
    <row r="15" spans="2:9" ht="23.1" customHeight="1">
      <c r="B15" s="147"/>
      <c r="C15" s="154" t="s">
        <v>269</v>
      </c>
      <c r="D15" s="161">
        <v>0</v>
      </c>
      <c r="E15" s="137"/>
      <c r="F15" s="111" t="s">
        <v>154</v>
      </c>
      <c r="G15" s="114" t="s">
        <v>253</v>
      </c>
      <c r="H15" s="113"/>
      <c r="I15" s="113"/>
    </row>
    <row r="16" spans="2:9" ht="23.1" customHeight="1">
      <c r="B16" s="147"/>
      <c r="C16" s="154" t="s">
        <v>270</v>
      </c>
      <c r="D16" s="161">
        <v>52</v>
      </c>
      <c r="E16" s="155"/>
      <c r="F16" s="111" t="s">
        <v>154</v>
      </c>
      <c r="G16" s="114" t="s">
        <v>253</v>
      </c>
      <c r="H16" s="113"/>
      <c r="I16" s="113"/>
    </row>
    <row r="17" spans="1:9" ht="23.1" customHeight="1">
      <c r="B17" s="147"/>
      <c r="C17" s="168" t="s">
        <v>231</v>
      </c>
      <c r="D17" s="137"/>
      <c r="E17" s="162">
        <f>SUM(D12:D16)</f>
        <v>502</v>
      </c>
      <c r="F17" s="134" t="s">
        <v>152</v>
      </c>
      <c r="G17" s="114" t="s">
        <v>254</v>
      </c>
      <c r="H17" s="113"/>
      <c r="I17" s="113"/>
    </row>
    <row r="18" spans="1:9" ht="5.0999999999999996" customHeight="1">
      <c r="B18" s="147"/>
      <c r="C18" s="137"/>
      <c r="D18" s="137"/>
      <c r="E18" s="137"/>
      <c r="F18" s="111"/>
      <c r="G18" s="114"/>
      <c r="H18" s="113"/>
      <c r="I18" s="113"/>
    </row>
    <row r="19" spans="1:9" ht="23.1" customHeight="1">
      <c r="B19" s="166" t="s">
        <v>232</v>
      </c>
      <c r="C19" s="137"/>
      <c r="D19" s="137"/>
      <c r="E19" s="137"/>
      <c r="F19" s="111"/>
      <c r="G19" s="114"/>
      <c r="H19" s="113"/>
      <c r="I19" s="113"/>
    </row>
    <row r="20" spans="1:9" ht="23.1" customHeight="1">
      <c r="B20" s="147"/>
      <c r="C20" s="154" t="s">
        <v>233</v>
      </c>
      <c r="D20" s="161">
        <v>263.02</v>
      </c>
      <c r="E20" s="137"/>
      <c r="F20" s="111" t="s">
        <v>154</v>
      </c>
      <c r="G20" s="114" t="s">
        <v>253</v>
      </c>
      <c r="H20" s="113"/>
      <c r="I20" s="113"/>
    </row>
    <row r="21" spans="1:9" ht="31.5">
      <c r="B21" s="147"/>
      <c r="C21" s="151" t="s">
        <v>234</v>
      </c>
      <c r="D21" s="161">
        <v>0</v>
      </c>
      <c r="E21" s="137"/>
      <c r="F21" s="111" t="s">
        <v>154</v>
      </c>
      <c r="G21" s="114" t="s">
        <v>271</v>
      </c>
      <c r="H21" s="113"/>
      <c r="I21" s="113"/>
    </row>
    <row r="22" spans="1:9" ht="23.1" customHeight="1">
      <c r="B22" s="147"/>
      <c r="C22" s="168" t="s">
        <v>235</v>
      </c>
      <c r="D22" s="137"/>
      <c r="E22" s="162">
        <f>SUM(D20:D21)</f>
        <v>263.02</v>
      </c>
      <c r="F22" s="111" t="s">
        <v>154</v>
      </c>
      <c r="G22" s="114"/>
      <c r="H22" s="113"/>
      <c r="I22" s="113"/>
    </row>
    <row r="23" spans="1:9" ht="5.0999999999999996" customHeight="1">
      <c r="B23" s="147"/>
      <c r="C23" s="159"/>
      <c r="D23" s="137"/>
      <c r="E23" s="137"/>
      <c r="F23" s="111"/>
      <c r="G23" s="114"/>
      <c r="H23" s="113"/>
      <c r="I23" s="113"/>
    </row>
    <row r="24" spans="1:9" ht="23.1" customHeight="1">
      <c r="B24" s="166" t="s">
        <v>236</v>
      </c>
      <c r="C24" s="137"/>
      <c r="D24" s="137"/>
      <c r="E24" s="162">
        <f>E17+E22</f>
        <v>765.02</v>
      </c>
      <c r="F24" s="134" t="s">
        <v>152</v>
      </c>
      <c r="G24" s="114" t="s">
        <v>255</v>
      </c>
      <c r="H24" s="113"/>
      <c r="I24" s="113"/>
    </row>
    <row r="25" spans="1:9" ht="5.0999999999999996" customHeight="1">
      <c r="B25" s="147"/>
      <c r="C25" s="137"/>
      <c r="D25" s="137"/>
      <c r="E25" s="137"/>
      <c r="F25" s="111"/>
      <c r="G25" s="114"/>
      <c r="H25" s="113"/>
      <c r="I25" s="113"/>
    </row>
    <row r="26" spans="1:9" ht="23.1" customHeight="1">
      <c r="B26" s="166" t="s">
        <v>237</v>
      </c>
      <c r="C26" s="137"/>
      <c r="D26" s="137"/>
      <c r="E26" s="164">
        <f>IFERROR($E$17/$E$24,"0%")</f>
        <v>0.65619199498052339</v>
      </c>
      <c r="F26" s="134" t="s">
        <v>152</v>
      </c>
      <c r="G26" s="114" t="s">
        <v>256</v>
      </c>
      <c r="H26" s="113"/>
      <c r="I26" s="113"/>
    </row>
    <row r="27" spans="1:9" ht="23.1" customHeight="1">
      <c r="B27" s="137"/>
      <c r="C27" s="137"/>
      <c r="D27" s="137"/>
      <c r="E27" s="137"/>
      <c r="F27" s="111"/>
      <c r="G27" s="114"/>
      <c r="H27" s="113"/>
      <c r="I27" s="113"/>
    </row>
    <row r="28" spans="1:9" ht="5.0999999999999996" customHeight="1">
      <c r="B28" s="137"/>
      <c r="C28" s="137"/>
      <c r="D28" s="137"/>
      <c r="E28" s="137"/>
      <c r="F28" s="111"/>
      <c r="G28" s="114"/>
      <c r="H28" s="113"/>
      <c r="I28" s="113"/>
    </row>
    <row r="29" spans="1:9" ht="23.1" customHeight="1">
      <c r="A29" s="144"/>
      <c r="B29" s="166" t="s">
        <v>238</v>
      </c>
      <c r="C29" s="137"/>
      <c r="D29" s="137"/>
      <c r="E29" s="137"/>
      <c r="F29" s="111"/>
      <c r="G29" s="114"/>
      <c r="H29" s="113"/>
      <c r="I29" s="113"/>
    </row>
    <row r="30" spans="1:9" ht="23.1" customHeight="1">
      <c r="A30" s="144"/>
      <c r="B30" s="147"/>
      <c r="C30" s="150" t="s">
        <v>225</v>
      </c>
      <c r="D30" s="137"/>
      <c r="E30" s="137"/>
      <c r="F30" s="111"/>
      <c r="G30" s="114"/>
      <c r="H30" s="113"/>
      <c r="I30" s="113"/>
    </row>
    <row r="31" spans="1:9" ht="23.1" customHeight="1">
      <c r="A31" s="144"/>
      <c r="B31" s="137"/>
      <c r="C31" s="157" t="s">
        <v>239</v>
      </c>
      <c r="D31" s="137"/>
      <c r="E31" s="160">
        <f>IFERROR(ROUND(VLOOKUP($C$6,'Fall 2023 Compliance FON'!$B$4:$G$77,6,FALSE),1),"")</f>
        <v>467.8</v>
      </c>
      <c r="F31" s="134" t="s">
        <v>152</v>
      </c>
      <c r="G31" s="114" t="s">
        <v>257</v>
      </c>
      <c r="H31" s="113"/>
      <c r="I31" s="113"/>
    </row>
    <row r="32" spans="1:9" ht="23.1" customHeight="1">
      <c r="A32" s="144"/>
      <c r="B32" s="137"/>
      <c r="C32" s="157" t="s">
        <v>250</v>
      </c>
      <c r="D32" s="137"/>
      <c r="E32" s="160">
        <f>IFERROR(ROUND($E$17-$E$31,1),"")</f>
        <v>34.200000000000003</v>
      </c>
      <c r="F32" s="134" t="s">
        <v>152</v>
      </c>
      <c r="G32" s="114" t="s">
        <v>258</v>
      </c>
      <c r="H32" s="113"/>
      <c r="I32" s="113"/>
    </row>
    <row r="33" spans="2:9" ht="23.1" customHeight="1">
      <c r="B33" s="149"/>
      <c r="C33" s="165" t="s">
        <v>240</v>
      </c>
      <c r="D33" s="137"/>
      <c r="E33" s="163" t="str">
        <f>(IF($E$32&gt;=0,"In Compliance","Noncompliant"))</f>
        <v>In Compliance</v>
      </c>
      <c r="F33" s="134" t="s">
        <v>152</v>
      </c>
      <c r="G33" s="114" t="s">
        <v>258</v>
      </c>
      <c r="H33" s="113"/>
      <c r="I33" s="113"/>
    </row>
    <row r="34" spans="2:9" ht="23.1" customHeight="1">
      <c r="B34" s="137"/>
      <c r="C34" s="137"/>
      <c r="D34" s="137"/>
      <c r="E34" s="137"/>
      <c r="F34" s="111"/>
      <c r="G34" s="114"/>
      <c r="H34" s="113"/>
      <c r="I34" s="113"/>
    </row>
    <row r="35" spans="2:9" ht="23.1" customHeight="1">
      <c r="B35" s="166" t="s">
        <v>153</v>
      </c>
      <c r="C35" s="137"/>
      <c r="D35" s="137"/>
      <c r="E35" s="137"/>
      <c r="F35" s="111"/>
      <c r="G35" s="114"/>
      <c r="H35" s="113"/>
      <c r="I35" s="113"/>
    </row>
    <row r="36" spans="2:9" ht="23.1" customHeight="1">
      <c r="B36" s="137"/>
      <c r="C36" s="151" t="s">
        <v>241</v>
      </c>
      <c r="D36" s="151"/>
      <c r="E36" s="151"/>
      <c r="F36" s="111"/>
      <c r="G36" s="114"/>
      <c r="H36" s="113"/>
      <c r="I36" s="113"/>
    </row>
    <row r="37" spans="2:9" ht="23.1" customHeight="1">
      <c r="B37" s="149"/>
      <c r="C37" s="137" t="s">
        <v>242</v>
      </c>
      <c r="D37" s="137"/>
      <c r="E37" s="152">
        <v>92511</v>
      </c>
      <c r="F37" s="111"/>
      <c r="G37" s="114"/>
      <c r="H37" s="113"/>
      <c r="I37" s="113"/>
    </row>
    <row r="38" spans="2:9" ht="23.1" customHeight="1">
      <c r="B38" s="149"/>
      <c r="C38" s="137" t="s">
        <v>243</v>
      </c>
      <c r="D38" s="137"/>
      <c r="E38" s="167">
        <f>-(IF($E$33= "Noncompliant",(ROUND(E32*E37,0)),0))</f>
        <v>0</v>
      </c>
      <c r="F38" s="134" t="s">
        <v>152</v>
      </c>
      <c r="G38" s="114" t="s">
        <v>258</v>
      </c>
      <c r="H38" s="113"/>
      <c r="I38" s="113"/>
    </row>
    <row r="39" spans="2:9" ht="23.1" customHeight="1">
      <c r="B39" s="137"/>
      <c r="C39" s="137"/>
      <c r="D39" s="137"/>
      <c r="E39" s="137"/>
      <c r="F39" s="111"/>
      <c r="G39" s="114"/>
      <c r="H39" s="113"/>
      <c r="I39" s="113"/>
    </row>
    <row r="40" spans="2:9" ht="5.0999999999999996" customHeight="1">
      <c r="B40" s="137"/>
      <c r="C40" s="137"/>
      <c r="D40" s="137"/>
      <c r="E40" s="137"/>
      <c r="F40" s="111"/>
      <c r="G40" s="114"/>
      <c r="H40" s="113"/>
      <c r="I40" s="113"/>
    </row>
    <row r="41" spans="2:9" ht="23.1" customHeight="1">
      <c r="B41" s="147" t="s">
        <v>252</v>
      </c>
      <c r="C41" s="137"/>
      <c r="D41" s="137"/>
      <c r="E41" s="137"/>
      <c r="F41" s="111"/>
      <c r="G41" s="114"/>
      <c r="H41" s="113"/>
      <c r="I41" s="113"/>
    </row>
    <row r="42" spans="2:9" ht="5.0999999999999996" customHeight="1">
      <c r="B42" s="137"/>
      <c r="C42" s="137"/>
      <c r="D42" s="153"/>
      <c r="E42" s="153"/>
      <c r="F42" s="111"/>
      <c r="G42" s="114"/>
      <c r="H42" s="113"/>
      <c r="I42" s="113"/>
    </row>
    <row r="43" spans="2:9" ht="23.1" customHeight="1">
      <c r="B43" s="147" t="s">
        <v>251</v>
      </c>
      <c r="C43" s="137"/>
      <c r="D43" s="153"/>
      <c r="E43" s="153"/>
      <c r="F43" s="111"/>
      <c r="G43" s="114"/>
      <c r="H43" s="113"/>
      <c r="I43" s="113"/>
    </row>
    <row r="44" spans="2:9" ht="23.1" customHeight="1">
      <c r="B44" s="154" t="s">
        <v>148</v>
      </c>
      <c r="C44" s="137"/>
      <c r="D44" s="153"/>
      <c r="E44" s="153"/>
      <c r="F44" s="111"/>
      <c r="G44" s="114"/>
      <c r="H44" s="113"/>
      <c r="I44" s="113"/>
    </row>
    <row r="45" spans="2:9" ht="23.1" customHeight="1">
      <c r="B45" s="157" t="s">
        <v>244</v>
      </c>
      <c r="C45" s="155" t="s">
        <v>275</v>
      </c>
      <c r="D45" s="153"/>
      <c r="E45" s="153"/>
      <c r="F45" s="111"/>
      <c r="G45" s="114"/>
      <c r="H45" s="113"/>
      <c r="I45" s="113"/>
    </row>
    <row r="46" spans="2:9" ht="23.1" customHeight="1">
      <c r="B46" s="158" t="s">
        <v>147</v>
      </c>
      <c r="C46" s="155"/>
      <c r="D46" s="153"/>
      <c r="E46" s="153"/>
      <c r="F46" s="111"/>
      <c r="G46" s="114"/>
      <c r="H46" s="113"/>
      <c r="I46" s="113"/>
    </row>
    <row r="47" spans="2:9" ht="23.1" customHeight="1">
      <c r="B47" s="158" t="s">
        <v>245</v>
      </c>
      <c r="C47" s="155"/>
      <c r="D47" s="153"/>
      <c r="E47" s="153"/>
      <c r="F47" s="111"/>
      <c r="G47" s="114"/>
      <c r="H47" s="113"/>
      <c r="I47" s="113"/>
    </row>
    <row r="48" spans="2:9" ht="23.1" customHeight="1">
      <c r="B48" s="156"/>
      <c r="C48" s="137"/>
      <c r="D48" s="153"/>
      <c r="E48" s="153"/>
      <c r="F48" s="111"/>
      <c r="G48" s="114"/>
      <c r="H48" s="113"/>
      <c r="I48" s="113"/>
    </row>
    <row r="49" spans="2:9" ht="23.1" customHeight="1">
      <c r="B49" s="147" t="s">
        <v>246</v>
      </c>
      <c r="C49" s="137"/>
      <c r="D49" s="137"/>
      <c r="E49" s="137"/>
      <c r="F49" s="111"/>
      <c r="G49" s="114"/>
      <c r="H49" s="113"/>
      <c r="I49" s="113"/>
    </row>
    <row r="50" spans="2:9" ht="23.1" customHeight="1">
      <c r="B50" s="157" t="s">
        <v>151</v>
      </c>
      <c r="C50" s="155" t="s">
        <v>272</v>
      </c>
      <c r="D50" s="137"/>
      <c r="E50" s="137"/>
      <c r="F50" s="111"/>
      <c r="G50" s="114"/>
      <c r="H50" s="113"/>
      <c r="I50" s="113"/>
    </row>
    <row r="51" spans="2:9" ht="23.1" customHeight="1">
      <c r="B51" s="157" t="s">
        <v>150</v>
      </c>
      <c r="C51" s="189" t="s">
        <v>273</v>
      </c>
      <c r="D51" s="137"/>
      <c r="E51" s="137"/>
      <c r="F51" s="111"/>
      <c r="G51" s="114"/>
      <c r="H51" s="113"/>
      <c r="I51" s="113"/>
    </row>
    <row r="52" spans="2:9" ht="23.1" customHeight="1">
      <c r="B52" s="158" t="s">
        <v>149</v>
      </c>
      <c r="C52" s="155" t="s">
        <v>274</v>
      </c>
      <c r="D52" s="137"/>
      <c r="E52" s="137"/>
      <c r="F52" s="111"/>
      <c r="G52" s="114"/>
      <c r="H52" s="113"/>
      <c r="I52" s="113"/>
    </row>
    <row r="53" spans="2:9" ht="15.75">
      <c r="F53" s="111"/>
      <c r="G53" s="114"/>
      <c r="H53" s="113"/>
      <c r="I53" s="113"/>
    </row>
  </sheetData>
  <mergeCells count="1">
    <mergeCell ref="C6:D6"/>
  </mergeCells>
  <conditionalFormatting sqref="E32">
    <cfRule type="cellIs" dxfId="1" priority="3" operator="lessThan">
      <formula>0</formula>
    </cfRule>
  </conditionalFormatting>
  <conditionalFormatting sqref="E33">
    <cfRule type="containsText" dxfId="0" priority="1" operator="containsText" text="Noncompliant">
      <formula>NOT(ISERROR(SEARCH("Noncompliant",E33)))</formula>
    </cfRule>
  </conditionalFormatting>
  <dataValidations count="1">
    <dataValidation type="decimal" allowBlank="1" showInputMessage="1" showErrorMessage="1" promptTitle="Negative" prompt="Must enter negative amount." sqref="D21" xr:uid="{EABB4998-1555-4EAF-A58F-70FC45E7499F}">
      <formula1>-999999999</formula1>
      <formula2>0</formula2>
    </dataValidation>
  </dataValidations>
  <hyperlinks>
    <hyperlink ref="C51" r:id="rId1" xr:uid="{E0201E70-D0AE-4002-A771-8AFDF145FB6E}"/>
  </hyperlinks>
  <pageMargins left="0.7" right="0.7" top="0.75" bottom="0.75" header="0.3" footer="0.3"/>
  <pageSetup scale="65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hoose a District " prompt="Choose your district." xr:uid="{C03DC73D-F640-4307-A43C-3C23255B530B}">
          <x14:formula1>
            <xm:f>'Fall 2023 Compliance FON'!$B$5:$B$76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05F11-6E95-4EB8-8EDA-CE4FE11A2D6C}">
  <dimension ref="B1:I79"/>
  <sheetViews>
    <sheetView showGridLines="0" zoomScale="120" zoomScaleNormal="120" zoomScaleSheetLayoutView="110" workbookViewId="0">
      <pane ySplit="4" topLeftCell="A5" activePane="bottomLeft" state="frozen"/>
      <selection pane="bottomLeft" activeCell="G4" sqref="G4"/>
    </sheetView>
  </sheetViews>
  <sheetFormatPr defaultRowHeight="15"/>
  <cols>
    <col min="1" max="1" width="3.5703125" customWidth="1"/>
    <col min="2" max="2" width="20.85546875" customWidth="1"/>
    <col min="3" max="4" width="18.140625" customWidth="1"/>
    <col min="5" max="6" width="18.42578125" customWidth="1"/>
    <col min="7" max="7" width="18.85546875" customWidth="1"/>
  </cols>
  <sheetData>
    <row r="1" spans="2:9" ht="25.15" customHeight="1">
      <c r="B1" s="18" t="s">
        <v>0</v>
      </c>
      <c r="C1" s="1"/>
    </row>
    <row r="2" spans="2:9" ht="26.25" customHeight="1">
      <c r="B2" s="18" t="s">
        <v>247</v>
      </c>
    </row>
    <row r="3" spans="2:9" ht="5.0999999999999996" customHeight="1" thickBot="1">
      <c r="B3" s="10"/>
      <c r="C3" s="6"/>
      <c r="D3" s="6"/>
      <c r="E3" s="6"/>
      <c r="F3" s="6"/>
      <c r="G3" s="6"/>
    </row>
    <row r="4" spans="2:9" ht="30" customHeight="1" thickBot="1">
      <c r="B4" s="29" t="s">
        <v>20</v>
      </c>
      <c r="C4" s="30" t="s">
        <v>94</v>
      </c>
      <c r="D4" s="30" t="s">
        <v>129</v>
      </c>
      <c r="E4" s="30" t="s">
        <v>95</v>
      </c>
      <c r="F4" s="30" t="s">
        <v>139</v>
      </c>
      <c r="G4" s="31" t="s">
        <v>158</v>
      </c>
    </row>
    <row r="5" spans="2:9" ht="15.75" thickTop="1">
      <c r="B5" s="32" t="s">
        <v>21</v>
      </c>
      <c r="C5" s="33">
        <v>134.6241</v>
      </c>
      <c r="D5" s="33">
        <v>158.69999999999999</v>
      </c>
      <c r="E5" s="33">
        <v>144.6241</v>
      </c>
      <c r="F5" s="33">
        <v>129.6241</v>
      </c>
      <c r="G5" s="34">
        <f>IF(E5&gt;F5,F5,E5)</f>
        <v>129.6241</v>
      </c>
      <c r="H5" s="20"/>
      <c r="I5" s="20"/>
    </row>
    <row r="6" spans="2:9">
      <c r="B6" s="35" t="s">
        <v>22</v>
      </c>
      <c r="C6" s="36">
        <v>157.36279999999999</v>
      </c>
      <c r="D6" s="36">
        <v>184</v>
      </c>
      <c r="E6" s="36">
        <v>170.36279999999999</v>
      </c>
      <c r="F6" s="36">
        <v>152.36279999999999</v>
      </c>
      <c r="G6" s="37">
        <f t="shared" ref="G6:G69" si="0">IF(E6&gt;F6,F6,E6)</f>
        <v>152.36279999999999</v>
      </c>
      <c r="I6" s="20"/>
    </row>
    <row r="7" spans="2:9">
      <c r="B7" s="38" t="s">
        <v>23</v>
      </c>
      <c r="C7" s="39">
        <v>28.333500000000001</v>
      </c>
      <c r="D7" s="39">
        <v>39.6</v>
      </c>
      <c r="E7" s="39">
        <v>29.333500000000001</v>
      </c>
      <c r="F7" s="39">
        <v>26.333500000000001</v>
      </c>
      <c r="G7" s="40">
        <f t="shared" si="0"/>
        <v>26.333500000000001</v>
      </c>
      <c r="I7" s="20"/>
    </row>
    <row r="8" spans="2:9">
      <c r="B8" s="35" t="s">
        <v>24</v>
      </c>
      <c r="C8" s="36">
        <v>155.45410000000001</v>
      </c>
      <c r="D8" s="36">
        <v>172.7</v>
      </c>
      <c r="E8" s="36">
        <v>168.45410000000001</v>
      </c>
      <c r="F8" s="36">
        <v>150.45410000000001</v>
      </c>
      <c r="G8" s="37">
        <f t="shared" si="0"/>
        <v>150.45410000000001</v>
      </c>
      <c r="I8" s="20"/>
    </row>
    <row r="9" spans="2:9">
      <c r="B9" s="38" t="s">
        <v>25</v>
      </c>
      <c r="C9" s="39">
        <v>162.76750000000001</v>
      </c>
      <c r="D9" s="39">
        <v>185.7</v>
      </c>
      <c r="E9" s="39">
        <v>185.76750000000001</v>
      </c>
      <c r="F9" s="39">
        <v>165.76750000000001</v>
      </c>
      <c r="G9" s="40">
        <f t="shared" si="0"/>
        <v>165.76750000000001</v>
      </c>
      <c r="I9" s="20"/>
    </row>
    <row r="10" spans="2:9">
      <c r="B10" s="35" t="s">
        <v>26</v>
      </c>
      <c r="C10" s="36">
        <v>272.9939</v>
      </c>
      <c r="D10" s="36">
        <v>272</v>
      </c>
      <c r="E10" s="36">
        <v>313.9939</v>
      </c>
      <c r="F10" s="36">
        <v>279.9939</v>
      </c>
      <c r="G10" s="37">
        <f t="shared" si="0"/>
        <v>279.9939</v>
      </c>
      <c r="I10" s="20"/>
    </row>
    <row r="11" spans="2:9">
      <c r="B11" s="38" t="s">
        <v>27</v>
      </c>
      <c r="C11" s="39">
        <v>299.96730000000002</v>
      </c>
      <c r="D11" s="39">
        <v>301</v>
      </c>
      <c r="E11" s="39">
        <v>321.96730000000002</v>
      </c>
      <c r="F11" s="39">
        <v>262.96730000000002</v>
      </c>
      <c r="G11" s="40">
        <f t="shared" si="0"/>
        <v>262.96730000000002</v>
      </c>
      <c r="I11" s="20"/>
    </row>
    <row r="12" spans="2:9">
      <c r="B12" s="35" t="s">
        <v>28</v>
      </c>
      <c r="C12" s="36">
        <v>251.58510000000001</v>
      </c>
      <c r="D12" s="36">
        <v>251.8</v>
      </c>
      <c r="E12" s="36">
        <v>269.58510000000001</v>
      </c>
      <c r="F12" s="36">
        <v>237.58510000000001</v>
      </c>
      <c r="G12" s="37">
        <f t="shared" si="0"/>
        <v>237.58510000000001</v>
      </c>
      <c r="I12" s="20"/>
    </row>
    <row r="13" spans="2:9">
      <c r="B13" s="38" t="s">
        <v>29</v>
      </c>
      <c r="C13" s="39">
        <v>172.0453</v>
      </c>
      <c r="D13" s="39">
        <v>169</v>
      </c>
      <c r="E13" s="39">
        <v>157.0453</v>
      </c>
      <c r="F13" s="39">
        <v>166.0453</v>
      </c>
      <c r="G13" s="40">
        <f t="shared" si="0"/>
        <v>157.0453</v>
      </c>
      <c r="I13" s="20"/>
    </row>
    <row r="14" spans="2:9">
      <c r="B14" s="35" t="s">
        <v>30</v>
      </c>
      <c r="C14" s="36">
        <v>382.86709999999999</v>
      </c>
      <c r="D14" s="36">
        <v>433.4</v>
      </c>
      <c r="E14" s="36">
        <v>417.86709999999999</v>
      </c>
      <c r="F14" s="36">
        <v>372.86709999999999</v>
      </c>
      <c r="G14" s="37">
        <f t="shared" si="0"/>
        <v>372.86709999999999</v>
      </c>
      <c r="I14" s="20"/>
    </row>
    <row r="15" spans="2:9">
      <c r="B15" s="38" t="s">
        <v>31</v>
      </c>
      <c r="C15" s="39">
        <v>27.951000000000001</v>
      </c>
      <c r="D15" s="39">
        <v>98.1</v>
      </c>
      <c r="E15" s="39">
        <v>34.951000000000001</v>
      </c>
      <c r="F15" s="39">
        <v>31.951000000000001</v>
      </c>
      <c r="G15" s="40">
        <f t="shared" si="0"/>
        <v>31.951000000000001</v>
      </c>
      <c r="I15" s="20"/>
    </row>
    <row r="16" spans="2:9">
      <c r="B16" s="35" t="s">
        <v>32</v>
      </c>
      <c r="C16" s="36">
        <v>376.01979999999998</v>
      </c>
      <c r="D16" s="36">
        <v>482.4</v>
      </c>
      <c r="E16" s="36">
        <v>412.01979999999998</v>
      </c>
      <c r="F16" s="36">
        <v>368.01979999999998</v>
      </c>
      <c r="G16" s="37">
        <f t="shared" si="0"/>
        <v>368.01979999999998</v>
      </c>
      <c r="I16" s="20"/>
    </row>
    <row r="17" spans="2:9">
      <c r="B17" s="38" t="s">
        <v>33</v>
      </c>
      <c r="C17" s="39">
        <v>7.6952999999999996</v>
      </c>
      <c r="D17" s="39">
        <v>36</v>
      </c>
      <c r="E17" s="39">
        <v>8.6952999999999996</v>
      </c>
      <c r="F17" s="39">
        <v>7.6952999999999996</v>
      </c>
      <c r="G17" s="40">
        <f t="shared" si="0"/>
        <v>7.6952999999999996</v>
      </c>
      <c r="I17" s="20"/>
    </row>
    <row r="18" spans="2:9">
      <c r="B18" s="35" t="s">
        <v>34</v>
      </c>
      <c r="C18" s="36">
        <v>128.8176</v>
      </c>
      <c r="D18" s="36">
        <v>137.30000000000001</v>
      </c>
      <c r="E18" s="36">
        <v>139.8176</v>
      </c>
      <c r="F18" s="36">
        <v>124.8176</v>
      </c>
      <c r="G18" s="37">
        <f t="shared" si="0"/>
        <v>124.8176</v>
      </c>
      <c r="I18" s="20"/>
    </row>
    <row r="19" spans="2:9">
      <c r="B19" s="38" t="s">
        <v>35</v>
      </c>
      <c r="C19" s="39">
        <v>336.95920000000001</v>
      </c>
      <c r="D19" s="39">
        <v>332.2</v>
      </c>
      <c r="E19" s="39">
        <v>360.95920000000001</v>
      </c>
      <c r="F19" s="39">
        <v>321.95920000000001</v>
      </c>
      <c r="G19" s="40">
        <f t="shared" si="0"/>
        <v>321.95920000000001</v>
      </c>
      <c r="I19" s="20"/>
    </row>
    <row r="20" spans="2:9">
      <c r="B20" s="35" t="s">
        <v>36</v>
      </c>
      <c r="C20" s="36">
        <v>17.3188</v>
      </c>
      <c r="D20" s="36">
        <v>34</v>
      </c>
      <c r="E20" s="36">
        <v>19.3188</v>
      </c>
      <c r="F20" s="36">
        <v>16.3188</v>
      </c>
      <c r="G20" s="37">
        <f t="shared" si="0"/>
        <v>16.3188</v>
      </c>
      <c r="I20" s="20"/>
    </row>
    <row r="21" spans="2:9">
      <c r="B21" s="38" t="s">
        <v>37</v>
      </c>
      <c r="C21" s="39">
        <v>381.55779999999999</v>
      </c>
      <c r="D21" s="39">
        <v>412</v>
      </c>
      <c r="E21" s="39">
        <v>384.55779999999999</v>
      </c>
      <c r="F21" s="39">
        <v>340.55779999999999</v>
      </c>
      <c r="G21" s="40">
        <f t="shared" si="0"/>
        <v>340.55779999999999</v>
      </c>
      <c r="I21" s="20"/>
    </row>
    <row r="22" spans="2:9">
      <c r="B22" s="35" t="s">
        <v>38</v>
      </c>
      <c r="C22" s="36">
        <v>70.532399999999996</v>
      </c>
      <c r="D22" s="36">
        <v>70</v>
      </c>
      <c r="E22" s="36">
        <v>73.532399999999996</v>
      </c>
      <c r="F22" s="36">
        <v>65.532399999999996</v>
      </c>
      <c r="G22" s="37">
        <f t="shared" si="0"/>
        <v>65.532399999999996</v>
      </c>
      <c r="I22" s="20"/>
    </row>
    <row r="23" spans="2:9">
      <c r="B23" s="38" t="s">
        <v>39</v>
      </c>
      <c r="C23" s="39">
        <v>211.0789</v>
      </c>
      <c r="D23" s="39">
        <v>219</v>
      </c>
      <c r="E23" s="39">
        <v>225.0789</v>
      </c>
      <c r="F23" s="39">
        <v>201.0789</v>
      </c>
      <c r="G23" s="40">
        <f t="shared" si="0"/>
        <v>201.0789</v>
      </c>
      <c r="I23" s="20"/>
    </row>
    <row r="24" spans="2:9">
      <c r="B24" s="35" t="s">
        <v>40</v>
      </c>
      <c r="C24" s="36">
        <v>280.54349999999999</v>
      </c>
      <c r="D24" s="36">
        <v>280.8</v>
      </c>
      <c r="E24" s="36">
        <v>301.54349999999999</v>
      </c>
      <c r="F24" s="36">
        <v>269.54349999999999</v>
      </c>
      <c r="G24" s="37">
        <f t="shared" si="0"/>
        <v>269.54349999999999</v>
      </c>
      <c r="I24" s="20"/>
    </row>
    <row r="25" spans="2:9">
      <c r="B25" s="38" t="s">
        <v>41</v>
      </c>
      <c r="C25" s="39">
        <v>111.95829999999999</v>
      </c>
      <c r="D25" s="39">
        <v>112</v>
      </c>
      <c r="E25" s="39">
        <v>123.95829999999999</v>
      </c>
      <c r="F25" s="39">
        <v>106.95829999999999</v>
      </c>
      <c r="G25" s="40">
        <f t="shared" si="0"/>
        <v>106.95829999999999</v>
      </c>
      <c r="I25" s="20"/>
    </row>
    <row r="26" spans="2:9">
      <c r="B26" s="35" t="s">
        <v>42</v>
      </c>
      <c r="C26" s="36">
        <v>109.06059999999999</v>
      </c>
      <c r="D26" s="36">
        <v>118.8</v>
      </c>
      <c r="E26" s="36">
        <v>117.06059999999999</v>
      </c>
      <c r="F26" s="36">
        <v>105.06059999999999</v>
      </c>
      <c r="G26" s="37">
        <f t="shared" si="0"/>
        <v>105.06059999999999</v>
      </c>
      <c r="I26" s="20"/>
    </row>
    <row r="27" spans="2:9">
      <c r="B27" s="38" t="s">
        <v>43</v>
      </c>
      <c r="C27" s="39">
        <v>457.78919999999999</v>
      </c>
      <c r="D27" s="39">
        <v>490</v>
      </c>
      <c r="E27" s="39">
        <v>495.78919999999999</v>
      </c>
      <c r="F27" s="39">
        <v>467.78919999999999</v>
      </c>
      <c r="G27" s="40">
        <f t="shared" si="0"/>
        <v>467.78919999999999</v>
      </c>
      <c r="I27" s="20"/>
    </row>
    <row r="28" spans="2:9">
      <c r="B28" s="35" t="s">
        <v>44</v>
      </c>
      <c r="C28" s="36">
        <v>15.559999999999999</v>
      </c>
      <c r="D28" s="36">
        <v>35.799999999999997</v>
      </c>
      <c r="E28" s="36">
        <v>19.559999999999999</v>
      </c>
      <c r="F28" s="36">
        <v>18.559999999999999</v>
      </c>
      <c r="G28" s="37">
        <f t="shared" si="0"/>
        <v>18.559999999999999</v>
      </c>
      <c r="I28" s="20"/>
    </row>
    <row r="29" spans="2:9">
      <c r="B29" s="38" t="s">
        <v>45</v>
      </c>
      <c r="C29" s="39">
        <v>12.046900000000001</v>
      </c>
      <c r="D29" s="39">
        <v>22.9</v>
      </c>
      <c r="E29" s="39">
        <v>12.046900000000001</v>
      </c>
      <c r="F29" s="39">
        <v>13.046900000000001</v>
      </c>
      <c r="G29" s="40">
        <f t="shared" si="0"/>
        <v>12.046900000000001</v>
      </c>
      <c r="I29" s="20"/>
    </row>
    <row r="30" spans="2:9">
      <c r="B30" s="35" t="s">
        <v>46</v>
      </c>
      <c r="C30" s="36">
        <v>342.959</v>
      </c>
      <c r="D30" s="36">
        <v>335.3</v>
      </c>
      <c r="E30" s="36">
        <v>370.959</v>
      </c>
      <c r="F30" s="36">
        <v>330.959</v>
      </c>
      <c r="G30" s="37">
        <f t="shared" si="0"/>
        <v>330.959</v>
      </c>
      <c r="I30" s="20"/>
    </row>
    <row r="31" spans="2:9">
      <c r="B31" s="38" t="s">
        <v>47</v>
      </c>
      <c r="C31" s="39">
        <v>1466.7841000000001</v>
      </c>
      <c r="D31" s="39">
        <v>1475</v>
      </c>
      <c r="E31" s="39">
        <v>1646.7841000000001</v>
      </c>
      <c r="F31" s="39">
        <v>1469.7841000000001</v>
      </c>
      <c r="G31" s="40">
        <f t="shared" si="0"/>
        <v>1469.7841000000001</v>
      </c>
      <c r="I31" s="20"/>
    </row>
    <row r="32" spans="2:9">
      <c r="B32" s="35" t="s">
        <v>48</v>
      </c>
      <c r="C32" s="36">
        <v>839.10069999999996</v>
      </c>
      <c r="D32" s="36">
        <v>935</v>
      </c>
      <c r="E32" s="36">
        <v>908.10069999999996</v>
      </c>
      <c r="F32" s="36">
        <v>798.10069999999996</v>
      </c>
      <c r="G32" s="37">
        <f t="shared" si="0"/>
        <v>798.10069999999996</v>
      </c>
      <c r="I32" s="20"/>
    </row>
    <row r="33" spans="2:9">
      <c r="B33" s="38" t="s">
        <v>49</v>
      </c>
      <c r="C33" s="39">
        <v>52.504600000000003</v>
      </c>
      <c r="D33" s="39">
        <v>112.1</v>
      </c>
      <c r="E33" s="39">
        <v>55.504600000000003</v>
      </c>
      <c r="F33" s="39">
        <v>48.504600000000003</v>
      </c>
      <c r="G33" s="40">
        <f t="shared" si="0"/>
        <v>48.504600000000003</v>
      </c>
      <c r="I33" s="20"/>
    </row>
    <row r="34" spans="2:9">
      <c r="B34" s="35" t="s">
        <v>50</v>
      </c>
      <c r="C34" s="36">
        <v>31.740099999999998</v>
      </c>
      <c r="D34" s="36">
        <v>55</v>
      </c>
      <c r="E34" s="36">
        <v>46.740099999999998</v>
      </c>
      <c r="F34" s="36">
        <v>41.740099999999998</v>
      </c>
      <c r="G34" s="37">
        <f t="shared" si="0"/>
        <v>41.740099999999998</v>
      </c>
      <c r="I34" s="20"/>
    </row>
    <row r="35" spans="2:9">
      <c r="B35" s="38" t="s">
        <v>51</v>
      </c>
      <c r="C35" s="39">
        <v>182.74430000000001</v>
      </c>
      <c r="D35" s="39">
        <v>180.3</v>
      </c>
      <c r="E35" s="39">
        <v>196.74430000000001</v>
      </c>
      <c r="F35" s="39">
        <v>170.74430000000001</v>
      </c>
      <c r="G35" s="40">
        <f t="shared" si="0"/>
        <v>170.74430000000001</v>
      </c>
      <c r="I35" s="20"/>
    </row>
    <row r="36" spans="2:9">
      <c r="B36" s="35" t="s">
        <v>52</v>
      </c>
      <c r="C36" s="36">
        <v>155.2406</v>
      </c>
      <c r="D36" s="36">
        <v>199.8</v>
      </c>
      <c r="E36" s="36">
        <v>165.2406</v>
      </c>
      <c r="F36" s="36">
        <v>147.2406</v>
      </c>
      <c r="G36" s="37">
        <f t="shared" si="0"/>
        <v>147.2406</v>
      </c>
      <c r="I36" s="20"/>
    </row>
    <row r="37" spans="2:9">
      <c r="B37" s="38" t="s">
        <v>53</v>
      </c>
      <c r="C37" s="39">
        <v>114.68680000000001</v>
      </c>
      <c r="D37" s="39">
        <v>115.4</v>
      </c>
      <c r="E37" s="39">
        <v>121.68680000000001</v>
      </c>
      <c r="F37" s="39">
        <v>104.68680000000001</v>
      </c>
      <c r="G37" s="40">
        <f t="shared" si="0"/>
        <v>104.68680000000001</v>
      </c>
      <c r="I37" s="20"/>
    </row>
    <row r="38" spans="2:9">
      <c r="B38" s="35" t="s">
        <v>54</v>
      </c>
      <c r="C38" s="36">
        <v>435.09750000000003</v>
      </c>
      <c r="D38" s="36">
        <v>440.6</v>
      </c>
      <c r="E38" s="36">
        <v>472.09750000000003</v>
      </c>
      <c r="F38" s="36">
        <v>419.09750000000003</v>
      </c>
      <c r="G38" s="37">
        <f t="shared" si="0"/>
        <v>419.09750000000003</v>
      </c>
      <c r="I38" s="20"/>
    </row>
    <row r="39" spans="2:9">
      <c r="B39" s="38" t="s">
        <v>55</v>
      </c>
      <c r="C39" s="39">
        <v>155.57810000000001</v>
      </c>
      <c r="D39" s="39">
        <v>195</v>
      </c>
      <c r="E39" s="39">
        <v>170.57810000000001</v>
      </c>
      <c r="F39" s="39">
        <v>152.57810000000001</v>
      </c>
      <c r="G39" s="40">
        <f t="shared" si="0"/>
        <v>152.57810000000001</v>
      </c>
      <c r="I39" s="20"/>
    </row>
    <row r="40" spans="2:9">
      <c r="B40" s="35" t="s">
        <v>56</v>
      </c>
      <c r="C40" s="36">
        <v>78.383899999999997</v>
      </c>
      <c r="D40" s="36">
        <v>101.9</v>
      </c>
      <c r="E40" s="36">
        <v>83.383899999999997</v>
      </c>
      <c r="F40" s="36">
        <v>66.383899999999997</v>
      </c>
      <c r="G40" s="37">
        <f t="shared" si="0"/>
        <v>66.383899999999997</v>
      </c>
      <c r="I40" s="20"/>
    </row>
    <row r="41" spans="2:9">
      <c r="B41" s="38" t="s">
        <v>57</v>
      </c>
      <c r="C41" s="39">
        <v>532.17700000000002</v>
      </c>
      <c r="D41" s="39">
        <v>539</v>
      </c>
      <c r="E41" s="39">
        <v>495.17700000000002</v>
      </c>
      <c r="F41" s="39">
        <v>508.17700000000002</v>
      </c>
      <c r="G41" s="40">
        <f t="shared" si="0"/>
        <v>495.17700000000002</v>
      </c>
      <c r="I41" s="20"/>
    </row>
    <row r="42" spans="2:9">
      <c r="B42" s="35" t="s">
        <v>58</v>
      </c>
      <c r="C42" s="36">
        <v>106.6443</v>
      </c>
      <c r="D42" s="36">
        <v>115</v>
      </c>
      <c r="E42" s="36">
        <v>118.6443</v>
      </c>
      <c r="F42" s="36">
        <v>97.644300000000001</v>
      </c>
      <c r="G42" s="37">
        <f t="shared" si="0"/>
        <v>97.644300000000001</v>
      </c>
      <c r="I42" s="20"/>
    </row>
    <row r="43" spans="2:9">
      <c r="B43" s="38" t="s">
        <v>59</v>
      </c>
      <c r="C43" s="39">
        <v>25.435300000000002</v>
      </c>
      <c r="D43" s="39">
        <v>47</v>
      </c>
      <c r="E43" s="39">
        <v>28.435300000000002</v>
      </c>
      <c r="F43" s="39">
        <v>25.435300000000002</v>
      </c>
      <c r="G43" s="40">
        <f t="shared" si="0"/>
        <v>25.435300000000002</v>
      </c>
      <c r="I43" s="20"/>
    </row>
    <row r="44" spans="2:9">
      <c r="B44" s="35" t="s">
        <v>60</v>
      </c>
      <c r="C44" s="36">
        <v>282.1318</v>
      </c>
      <c r="D44" s="36">
        <v>289.60000000000002</v>
      </c>
      <c r="E44" s="36">
        <v>303.1318</v>
      </c>
      <c r="F44" s="36">
        <v>271.1318</v>
      </c>
      <c r="G44" s="37">
        <f t="shared" si="0"/>
        <v>271.1318</v>
      </c>
      <c r="I44" s="20"/>
    </row>
    <row r="45" spans="2:9">
      <c r="B45" s="38" t="s">
        <v>61</v>
      </c>
      <c r="C45" s="39">
        <v>434.36059999999998</v>
      </c>
      <c r="D45" s="39">
        <v>435</v>
      </c>
      <c r="E45" s="39">
        <v>466.36059999999998</v>
      </c>
      <c r="F45" s="39">
        <v>416.36059999999998</v>
      </c>
      <c r="G45" s="40">
        <f t="shared" si="0"/>
        <v>416.36059999999998</v>
      </c>
      <c r="I45" s="20"/>
    </row>
    <row r="46" spans="2:9">
      <c r="B46" s="35" t="s">
        <v>62</v>
      </c>
      <c r="C46" s="36">
        <v>273.85899999999998</v>
      </c>
      <c r="D46" s="36">
        <v>309.2</v>
      </c>
      <c r="E46" s="36">
        <v>292.85899999999998</v>
      </c>
      <c r="F46" s="36">
        <v>261.85899999999998</v>
      </c>
      <c r="G46" s="37">
        <f t="shared" si="0"/>
        <v>261.85899999999998</v>
      </c>
      <c r="I46" s="20"/>
    </row>
    <row r="47" spans="2:9">
      <c r="B47" s="38" t="s">
        <v>63</v>
      </c>
      <c r="C47" s="39">
        <v>356.36529999999999</v>
      </c>
      <c r="D47" s="39">
        <v>338.6</v>
      </c>
      <c r="E47" s="39">
        <v>327.36529999999999</v>
      </c>
      <c r="F47" s="39">
        <v>305.36529999999999</v>
      </c>
      <c r="G47" s="40">
        <f t="shared" si="0"/>
        <v>305.36529999999999</v>
      </c>
      <c r="I47" s="20"/>
    </row>
    <row r="48" spans="2:9">
      <c r="B48" s="35" t="s">
        <v>64</v>
      </c>
      <c r="C48" s="36">
        <v>61.157499999999999</v>
      </c>
      <c r="D48" s="36">
        <v>72.8</v>
      </c>
      <c r="E48" s="36">
        <v>64.157499999999999</v>
      </c>
      <c r="F48" s="36">
        <v>57.157499999999999</v>
      </c>
      <c r="G48" s="37">
        <f t="shared" si="0"/>
        <v>57.157499999999999</v>
      </c>
      <c r="I48" s="20"/>
    </row>
    <row r="49" spans="2:9">
      <c r="B49" s="38" t="s">
        <v>65</v>
      </c>
      <c r="C49" s="39">
        <v>221.8244</v>
      </c>
      <c r="D49" s="39">
        <v>222</v>
      </c>
      <c r="E49" s="39">
        <v>237.8244</v>
      </c>
      <c r="F49" s="39">
        <v>212.8244</v>
      </c>
      <c r="G49" s="40">
        <f t="shared" si="0"/>
        <v>212.8244</v>
      </c>
      <c r="I49" s="20"/>
    </row>
    <row r="50" spans="2:9">
      <c r="B50" s="35" t="s">
        <v>66</v>
      </c>
      <c r="C50" s="36">
        <v>441.35449999999997</v>
      </c>
      <c r="D50" s="36">
        <v>456.4</v>
      </c>
      <c r="E50" s="36">
        <v>486.35449999999997</v>
      </c>
      <c r="F50" s="36">
        <v>422.35449999999997</v>
      </c>
      <c r="G50" s="37">
        <f t="shared" si="0"/>
        <v>422.35449999999997</v>
      </c>
      <c r="I50" s="20"/>
    </row>
    <row r="51" spans="2:9">
      <c r="B51" s="38" t="s">
        <v>67</v>
      </c>
      <c r="C51" s="39">
        <v>233.38229999999999</v>
      </c>
      <c r="D51" s="39">
        <v>271.60000000000002</v>
      </c>
      <c r="E51" s="39">
        <v>249.38229999999999</v>
      </c>
      <c r="F51" s="39">
        <v>222.38229999999999</v>
      </c>
      <c r="G51" s="40">
        <f t="shared" si="0"/>
        <v>222.38229999999999</v>
      </c>
      <c r="I51" s="20"/>
    </row>
    <row r="52" spans="2:9">
      <c r="B52" s="35" t="s">
        <v>68</v>
      </c>
      <c r="C52" s="36">
        <v>507.00289999999995</v>
      </c>
      <c r="D52" s="36">
        <v>553.79999999999995</v>
      </c>
      <c r="E52" s="36">
        <v>548.00289999999995</v>
      </c>
      <c r="F52" s="36">
        <v>489.00289999999995</v>
      </c>
      <c r="G52" s="37">
        <f t="shared" si="0"/>
        <v>489.00289999999995</v>
      </c>
      <c r="I52" s="20"/>
    </row>
    <row r="53" spans="2:9">
      <c r="B53" s="38" t="s">
        <v>69</v>
      </c>
      <c r="C53" s="39">
        <v>188.06739999999999</v>
      </c>
      <c r="D53" s="39">
        <v>361.7</v>
      </c>
      <c r="E53" s="39">
        <v>205.06739999999999</v>
      </c>
      <c r="F53" s="39">
        <v>163.06739999999999</v>
      </c>
      <c r="G53" s="40">
        <f t="shared" si="0"/>
        <v>163.06739999999999</v>
      </c>
      <c r="I53" s="20"/>
    </row>
    <row r="54" spans="2:9">
      <c r="B54" s="35" t="s">
        <v>70</v>
      </c>
      <c r="C54" s="36">
        <v>244.05119999999999</v>
      </c>
      <c r="D54" s="36">
        <v>240.8</v>
      </c>
      <c r="E54" s="36">
        <v>265.05119999999999</v>
      </c>
      <c r="F54" s="36">
        <v>234.05119999999999</v>
      </c>
      <c r="G54" s="37">
        <f t="shared" si="0"/>
        <v>234.05119999999999</v>
      </c>
      <c r="I54" s="20"/>
    </row>
    <row r="55" spans="2:9">
      <c r="B55" s="38" t="s">
        <v>71</v>
      </c>
      <c r="C55" s="39">
        <v>200.82929999999999</v>
      </c>
      <c r="D55" s="39">
        <v>238.5</v>
      </c>
      <c r="E55" s="39">
        <v>212.82929999999999</v>
      </c>
      <c r="F55" s="39">
        <v>170.82929999999999</v>
      </c>
      <c r="G55" s="40">
        <f t="shared" si="0"/>
        <v>170.82929999999999</v>
      </c>
      <c r="I55" s="20"/>
    </row>
    <row r="56" spans="2:9">
      <c r="B56" s="35" t="s">
        <v>72</v>
      </c>
      <c r="C56" s="36">
        <v>122.1765</v>
      </c>
      <c r="D56" s="36">
        <v>137.30000000000001</v>
      </c>
      <c r="E56" s="36">
        <v>132.1765</v>
      </c>
      <c r="F56" s="36">
        <v>118.1765</v>
      </c>
      <c r="G56" s="37">
        <f t="shared" si="0"/>
        <v>118.1765</v>
      </c>
      <c r="I56" s="20"/>
    </row>
    <row r="57" spans="2:9">
      <c r="B57" s="38" t="s">
        <v>73</v>
      </c>
      <c r="C57" s="39">
        <v>263.73450000000003</v>
      </c>
      <c r="D57" s="39">
        <v>361.5</v>
      </c>
      <c r="E57" s="39">
        <v>252.73450000000003</v>
      </c>
      <c r="F57" s="39">
        <v>223.73450000000003</v>
      </c>
      <c r="G57" s="40">
        <f t="shared" si="0"/>
        <v>223.73450000000003</v>
      </c>
      <c r="I57" s="20"/>
    </row>
    <row r="58" spans="2:9">
      <c r="B58" s="35" t="s">
        <v>74</v>
      </c>
      <c r="C58" s="36">
        <v>205.14959999999999</v>
      </c>
      <c r="D58" s="36">
        <v>206.1</v>
      </c>
      <c r="E58" s="36">
        <v>221.14959999999999</v>
      </c>
      <c r="F58" s="36">
        <v>197.14959999999999</v>
      </c>
      <c r="G58" s="37">
        <f t="shared" si="0"/>
        <v>197.14959999999999</v>
      </c>
      <c r="I58" s="20"/>
    </row>
    <row r="59" spans="2:9">
      <c r="B59" s="38" t="s">
        <v>75</v>
      </c>
      <c r="C59" s="39">
        <v>217.6576</v>
      </c>
      <c r="D59" s="39">
        <v>218.5</v>
      </c>
      <c r="E59" s="39">
        <v>238.6576</v>
      </c>
      <c r="F59" s="39">
        <v>211.6576</v>
      </c>
      <c r="G59" s="40">
        <f t="shared" si="0"/>
        <v>211.6576</v>
      </c>
      <c r="I59" s="20"/>
    </row>
    <row r="60" spans="2:9">
      <c r="B60" s="35" t="s">
        <v>76</v>
      </c>
      <c r="C60" s="36">
        <v>262.58</v>
      </c>
      <c r="D60" s="36">
        <v>347.5</v>
      </c>
      <c r="E60" s="36">
        <v>289.58</v>
      </c>
      <c r="F60" s="36">
        <v>245.57999999999998</v>
      </c>
      <c r="G60" s="37">
        <f t="shared" si="0"/>
        <v>245.57999999999998</v>
      </c>
      <c r="I60" s="20"/>
    </row>
    <row r="61" spans="2:9">
      <c r="B61" s="38" t="s">
        <v>77</v>
      </c>
      <c r="C61" s="39">
        <v>207.28219999999999</v>
      </c>
      <c r="D61" s="39">
        <v>207.4</v>
      </c>
      <c r="E61" s="39">
        <v>220.28219999999999</v>
      </c>
      <c r="F61" s="39">
        <v>195.28219999999999</v>
      </c>
      <c r="G61" s="40">
        <f t="shared" si="0"/>
        <v>195.28219999999999</v>
      </c>
      <c r="I61" s="20"/>
    </row>
    <row r="62" spans="2:9">
      <c r="B62" s="35" t="s">
        <v>78</v>
      </c>
      <c r="C62" s="36">
        <v>116.30240000000001</v>
      </c>
      <c r="D62" s="36">
        <v>124</v>
      </c>
      <c r="E62" s="36">
        <v>129.30240000000001</v>
      </c>
      <c r="F62" s="36">
        <v>112.30240000000001</v>
      </c>
      <c r="G62" s="37">
        <f t="shared" si="0"/>
        <v>112.30240000000001</v>
      </c>
      <c r="I62" s="20"/>
    </row>
    <row r="63" spans="2:9">
      <c r="B63" s="38" t="s">
        <v>79</v>
      </c>
      <c r="C63" s="39">
        <v>205.73349999999999</v>
      </c>
      <c r="D63" s="39">
        <v>227.2</v>
      </c>
      <c r="E63" s="39">
        <v>219.73349999999999</v>
      </c>
      <c r="F63" s="39">
        <v>190.73349999999999</v>
      </c>
      <c r="G63" s="40">
        <f t="shared" si="0"/>
        <v>190.73349999999999</v>
      </c>
      <c r="I63" s="20"/>
    </row>
    <row r="64" spans="2:9">
      <c r="B64" s="35" t="s">
        <v>80</v>
      </c>
      <c r="C64" s="36">
        <v>24.056600000000003</v>
      </c>
      <c r="D64" s="36">
        <v>37</v>
      </c>
      <c r="E64" s="36">
        <v>24.056600000000003</v>
      </c>
      <c r="F64" s="36">
        <v>22.056600000000003</v>
      </c>
      <c r="G64" s="37">
        <f t="shared" si="0"/>
        <v>22.056600000000003</v>
      </c>
      <c r="I64" s="20"/>
    </row>
    <row r="65" spans="2:9">
      <c r="B65" s="38" t="s">
        <v>81</v>
      </c>
      <c r="C65" s="39">
        <v>126.7518</v>
      </c>
      <c r="D65" s="39">
        <v>134</v>
      </c>
      <c r="E65" s="39">
        <v>135.7518</v>
      </c>
      <c r="F65" s="39">
        <v>118.7518</v>
      </c>
      <c r="G65" s="40">
        <f t="shared" si="0"/>
        <v>118.7518</v>
      </c>
      <c r="I65" s="20"/>
    </row>
    <row r="66" spans="2:9">
      <c r="B66" s="35" t="s">
        <v>82</v>
      </c>
      <c r="C66" s="36">
        <v>284.63409999999999</v>
      </c>
      <c r="D66" s="36">
        <v>308.10000000000002</v>
      </c>
      <c r="E66" s="36">
        <v>308.63409999999999</v>
      </c>
      <c r="F66" s="36">
        <v>275.63409999999999</v>
      </c>
      <c r="G66" s="37">
        <f t="shared" si="0"/>
        <v>275.63409999999999</v>
      </c>
      <c r="I66" s="20"/>
    </row>
    <row r="67" spans="2:9">
      <c r="B67" s="38" t="s">
        <v>83</v>
      </c>
      <c r="C67" s="39">
        <v>389.79559999999998</v>
      </c>
      <c r="D67" s="39">
        <v>391.2</v>
      </c>
      <c r="E67" s="39">
        <v>417.79559999999998</v>
      </c>
      <c r="F67" s="39">
        <v>371.79559999999998</v>
      </c>
      <c r="G67" s="40">
        <f t="shared" si="0"/>
        <v>371.79559999999998</v>
      </c>
      <c r="I67" s="20"/>
    </row>
    <row r="68" spans="2:9">
      <c r="B68" s="35" t="s">
        <v>84</v>
      </c>
      <c r="C68" s="36">
        <v>257.16680000000002</v>
      </c>
      <c r="D68" s="36">
        <v>285.89999999999998</v>
      </c>
      <c r="E68" s="36">
        <v>275.16680000000002</v>
      </c>
      <c r="F68" s="36">
        <v>246.16680000000002</v>
      </c>
      <c r="G68" s="37">
        <f t="shared" si="0"/>
        <v>246.16680000000002</v>
      </c>
      <c r="I68" s="20"/>
    </row>
    <row r="69" spans="2:9">
      <c r="B69" s="38" t="s">
        <v>85</v>
      </c>
      <c r="C69" s="39">
        <v>592.25130000000001</v>
      </c>
      <c r="D69" s="39">
        <v>631.70000000000005</v>
      </c>
      <c r="E69" s="39">
        <v>635.25130000000001</v>
      </c>
      <c r="F69" s="39">
        <v>566.25130000000001</v>
      </c>
      <c r="G69" s="40">
        <f t="shared" si="0"/>
        <v>566.25130000000001</v>
      </c>
      <c r="I69" s="20"/>
    </row>
    <row r="70" spans="2:9">
      <c r="B70" s="35" t="s">
        <v>86</v>
      </c>
      <c r="C70" s="36">
        <v>413.83260000000001</v>
      </c>
      <c r="D70" s="36">
        <v>436.6</v>
      </c>
      <c r="E70" s="36">
        <v>449.83260000000001</v>
      </c>
      <c r="F70" s="36">
        <v>401.83260000000001</v>
      </c>
      <c r="G70" s="37">
        <f t="shared" ref="G70:G76" si="1">IF(E70&gt;F70,F70,E70)</f>
        <v>401.83260000000001</v>
      </c>
      <c r="I70" s="20"/>
    </row>
    <row r="71" spans="2:9">
      <c r="B71" s="38" t="s">
        <v>87</v>
      </c>
      <c r="C71" s="39">
        <v>110</v>
      </c>
      <c r="D71" s="39">
        <v>118</v>
      </c>
      <c r="E71" s="39">
        <v>139.01429999999999</v>
      </c>
      <c r="F71" s="39">
        <v>125.01429999999999</v>
      </c>
      <c r="G71" s="40">
        <f t="shared" si="1"/>
        <v>125.01429999999999</v>
      </c>
      <c r="I71" s="20"/>
    </row>
    <row r="72" spans="2:9">
      <c r="B72" s="35" t="s">
        <v>88</v>
      </c>
      <c r="C72" s="36">
        <v>82.5732</v>
      </c>
      <c r="D72" s="36">
        <v>98</v>
      </c>
      <c r="E72" s="36">
        <v>94.5732</v>
      </c>
      <c r="F72" s="36">
        <v>84.5732</v>
      </c>
      <c r="G72" s="37">
        <f t="shared" si="1"/>
        <v>84.5732</v>
      </c>
      <c r="I72" s="20"/>
    </row>
    <row r="73" spans="2:9">
      <c r="B73" s="38" t="s">
        <v>89</v>
      </c>
      <c r="C73" s="39">
        <v>61.719900000000003</v>
      </c>
      <c r="D73" s="39">
        <v>62</v>
      </c>
      <c r="E73" s="39">
        <v>63.719899999999996</v>
      </c>
      <c r="F73" s="39">
        <v>56.719899999999996</v>
      </c>
      <c r="G73" s="40">
        <f t="shared" si="1"/>
        <v>56.719899999999996</v>
      </c>
      <c r="I73" s="20"/>
    </row>
    <row r="74" spans="2:9">
      <c r="B74" s="35" t="s">
        <v>90</v>
      </c>
      <c r="C74" s="36">
        <v>217.1437</v>
      </c>
      <c r="D74" s="36">
        <v>276</v>
      </c>
      <c r="E74" s="36">
        <v>204.1437</v>
      </c>
      <c r="F74" s="36">
        <v>184.1437</v>
      </c>
      <c r="G74" s="37">
        <f t="shared" si="1"/>
        <v>184.1437</v>
      </c>
      <c r="I74" s="20"/>
    </row>
    <row r="75" spans="2:9">
      <c r="B75" s="38" t="s">
        <v>91</v>
      </c>
      <c r="C75" s="39">
        <v>288.23689999999999</v>
      </c>
      <c r="D75" s="39">
        <v>284</v>
      </c>
      <c r="E75" s="39">
        <v>308.23689999999999</v>
      </c>
      <c r="F75" s="39">
        <v>275.23689999999999</v>
      </c>
      <c r="G75" s="40">
        <f t="shared" si="1"/>
        <v>275.23689999999999</v>
      </c>
      <c r="I75" s="20"/>
    </row>
    <row r="76" spans="2:9">
      <c r="B76" s="35" t="s">
        <v>92</v>
      </c>
      <c r="C76" s="36">
        <v>97.106399999999994</v>
      </c>
      <c r="D76" s="36">
        <v>118.6</v>
      </c>
      <c r="E76" s="36">
        <v>105.10639999999999</v>
      </c>
      <c r="F76" s="36">
        <v>94.106399999999994</v>
      </c>
      <c r="G76" s="37">
        <f t="shared" si="1"/>
        <v>94.106399999999994</v>
      </c>
      <c r="I76" s="20"/>
    </row>
    <row r="77" spans="2:9" ht="15.75" thickBot="1">
      <c r="B77" s="41" t="s">
        <v>93</v>
      </c>
      <c r="C77" s="42">
        <f>SUBTOTAL(109,'Fall 2023 Compliance FON'!$C$5:$C$76)</f>
        <v>17072.237699999998</v>
      </c>
      <c r="D77" s="42">
        <f>SUBTOTAL(109,'Fall 2023 Compliance FON'!$D$5:$D$76)</f>
        <v>18696.2</v>
      </c>
      <c r="E77" s="42">
        <f>SUBTOTAL(109,'Fall 2023 Compliance FON'!$E$5:$E$76)</f>
        <v>18311.251999999997</v>
      </c>
      <c r="F77" s="42">
        <f>SUBTOTAL(109,'Fall 2023 Compliance FON'!$F$5:$F$76)</f>
        <v>16327.251999999997</v>
      </c>
      <c r="G77" s="43">
        <f>SUBTOTAL(109,'Fall 2023 Compliance FON'!$G$5:$G$76)</f>
        <v>16304.251999999997</v>
      </c>
      <c r="I77" s="20"/>
    </row>
    <row r="79" spans="2:9" s="14" customFormat="1">
      <c r="B79" s="14">
        <v>1</v>
      </c>
      <c r="C79" s="14">
        <v>2</v>
      </c>
      <c r="D79" s="14">
        <v>3</v>
      </c>
      <c r="E79" s="14">
        <v>4</v>
      </c>
      <c r="F79" s="14">
        <v>5</v>
      </c>
      <c r="G79" s="14">
        <v>6</v>
      </c>
    </row>
  </sheetData>
  <printOptions horizontalCentered="1"/>
  <pageMargins left="0.7" right="0.7" top="0.75" bottom="0.75" header="0.3" footer="0.3"/>
  <pageSetup scale="75" orientation="portrait" r:id="rId1"/>
  <headerFooter>
    <oddFooter>&amp;R&amp;D</oddFooter>
  </headerFooter>
  <rowBreaks count="1" manualBreakCount="1">
    <brk id="53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70940-C64D-46A4-B1E0-A191790233DB}">
  <sheetPr>
    <pageSetUpPr fitToPage="1"/>
  </sheetPr>
  <dimension ref="A1:D17"/>
  <sheetViews>
    <sheetView showGridLines="0" zoomScale="90" zoomScaleNormal="90" workbookViewId="0"/>
  </sheetViews>
  <sheetFormatPr defaultColWidth="8.85546875" defaultRowHeight="15"/>
  <cols>
    <col min="1" max="1" width="3.5703125" style="6" customWidth="1"/>
    <col min="2" max="2" width="26.7109375" style="8" customWidth="1"/>
    <col min="3" max="3" width="90.42578125" style="5" customWidth="1"/>
    <col min="4" max="4" width="64" style="5" customWidth="1"/>
    <col min="5" max="5" width="52.85546875" style="6" customWidth="1"/>
    <col min="6" max="16384" width="8.85546875" style="6"/>
  </cols>
  <sheetData>
    <row r="1" spans="1:4" customFormat="1" ht="25.15" customHeight="1">
      <c r="A1" s="18" t="s">
        <v>0</v>
      </c>
      <c r="B1" s="1"/>
      <c r="C1" s="1"/>
    </row>
    <row r="2" spans="1:4" customFormat="1" ht="25.15" customHeight="1">
      <c r="A2" s="18" t="s">
        <v>2</v>
      </c>
    </row>
    <row r="3" spans="1:4" customFormat="1" ht="25.15" customHeight="1">
      <c r="A3" s="18" t="s">
        <v>130</v>
      </c>
    </row>
    <row r="4" spans="1:4" ht="5.85" customHeight="1" thickBot="1">
      <c r="B4" s="21"/>
    </row>
    <row r="5" spans="1:4" s="7" customFormat="1" ht="40.15" customHeight="1" thickBot="1">
      <c r="B5" s="24" t="s">
        <v>5</v>
      </c>
      <c r="C5" s="24" t="s">
        <v>6</v>
      </c>
      <c r="D5" s="25" t="s">
        <v>7</v>
      </c>
    </row>
    <row r="6" spans="1:4" ht="45" customHeight="1">
      <c r="B6" s="22" t="s">
        <v>8</v>
      </c>
      <c r="C6" s="26" t="s">
        <v>9</v>
      </c>
      <c r="D6" s="26" t="s">
        <v>131</v>
      </c>
    </row>
    <row r="7" spans="1:4" ht="45" customHeight="1">
      <c r="B7" s="22" t="s">
        <v>10</v>
      </c>
      <c r="C7" s="26" t="s">
        <v>11</v>
      </c>
      <c r="D7" s="26" t="s">
        <v>248</v>
      </c>
    </row>
    <row r="8" spans="1:4" ht="45" customHeight="1">
      <c r="B8" s="22" t="s">
        <v>12</v>
      </c>
      <c r="C8" s="26" t="s">
        <v>13</v>
      </c>
      <c r="D8" s="26" t="s">
        <v>264</v>
      </c>
    </row>
    <row r="9" spans="1:4" ht="45" customHeight="1">
      <c r="B9" s="22" t="s">
        <v>14</v>
      </c>
      <c r="C9" s="26" t="s">
        <v>15</v>
      </c>
      <c r="D9" s="27" t="s">
        <v>266</v>
      </c>
    </row>
    <row r="10" spans="1:4" ht="63">
      <c r="B10" s="22" t="s">
        <v>16</v>
      </c>
      <c r="C10" s="26" t="s">
        <v>126</v>
      </c>
      <c r="D10" s="26" t="s">
        <v>132</v>
      </c>
    </row>
    <row r="11" spans="1:4" ht="47.25">
      <c r="B11" s="22" t="s">
        <v>17</v>
      </c>
      <c r="C11" s="26" t="s">
        <v>127</v>
      </c>
      <c r="D11" s="26" t="s">
        <v>132</v>
      </c>
    </row>
    <row r="12" spans="1:4" ht="45" customHeight="1">
      <c r="B12" s="22" t="s">
        <v>18</v>
      </c>
      <c r="C12" s="26" t="s">
        <v>259</v>
      </c>
      <c r="D12" s="26" t="s">
        <v>132</v>
      </c>
    </row>
    <row r="13" spans="1:4" ht="45" customHeight="1">
      <c r="B13" s="22" t="s">
        <v>19</v>
      </c>
      <c r="C13" s="26" t="s">
        <v>128</v>
      </c>
      <c r="D13" s="26" t="s">
        <v>132</v>
      </c>
    </row>
    <row r="14" spans="1:4" ht="45" customHeight="1">
      <c r="B14" s="22" t="s">
        <v>138</v>
      </c>
      <c r="C14" s="26" t="s">
        <v>159</v>
      </c>
      <c r="D14" s="26" t="s">
        <v>132</v>
      </c>
    </row>
    <row r="15" spans="1:4">
      <c r="C15" s="9"/>
      <c r="D15" s="9"/>
    </row>
    <row r="16" spans="1:4">
      <c r="C16" s="9"/>
      <c r="D16" s="9"/>
    </row>
    <row r="17" spans="3:4">
      <c r="C17" s="9"/>
      <c r="D17" s="9"/>
    </row>
  </sheetData>
  <hyperlinks>
    <hyperlink ref="B6" location="'Fall 2023 P2 FON Calculation'!C6" display="Base FON " xr:uid="{9D010EC4-85B9-4B47-9080-9B00C03C7E86}"/>
    <hyperlink ref="B7" location="'Fall 2023 P2 FON Calculation'!D6" display="Base Credit FTES" xr:uid="{5F58B314-B3F3-465D-AAD8-4541871407E5}"/>
    <hyperlink ref="B8" location="'Fall 2023 P2 FON Calculation'!E6" display="Funded Credit FTES" xr:uid="{988BA875-322A-4F64-9C3C-8DAB891858D1}"/>
    <hyperlink ref="B9" location="'Fall 2023 P2 FON Calculation'!F6" display="Deficit Factor" xr:uid="{67C9ED0D-382D-49AC-BB76-58E2534D185F}"/>
    <hyperlink ref="B10" location="'Fall 2023 P2 FON Calculation'!G6" display="Funded Credit FTEs adjusted for Deficit Factor" xr:uid="{A65F805C-EB7D-4B5D-8088-026AA4BBC3FE}"/>
    <hyperlink ref="B11" location="'Fall 2023 P2 FON Calculation'!H6" display="Change in FTES Growth/(Decline)" xr:uid="{6A18BA22-43AC-4E1C-8721-34C501672AC7}"/>
    <hyperlink ref="B12" location="'Fall 2023 P2 FON Calculation'!I6" display="Percent Change (Change in FTES/Base Credit FTES)" xr:uid="{43DEC8B1-DCD5-4E59-9DA7-9D2D0492BE5E}"/>
    <hyperlink ref="B13" location="'Fall 2023 P2 FON Calculation'!J6" display="FTES Adjustment" xr:uid="{89CB2204-E54C-47E8-A64F-E8C091CE5ED7}"/>
    <hyperlink ref="B14" location="'Fall 2023 P2 FON Calculation'!K6" display="Fall 2023 P2 FON" xr:uid="{FB8FA7B4-7CF8-483E-8C98-8AAC81A91D37}"/>
  </hyperlinks>
  <pageMargins left="0.7" right="0.7" top="0.75" bottom="0.75" header="0.3" footer="0.3"/>
  <pageSetup scale="66" fitToHeight="0" orientation="landscape" r:id="rId1"/>
  <headerFoot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44E28-2BC5-47B7-9626-042B666D6115}">
  <dimension ref="A1:M84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defaultColWidth="8.85546875" defaultRowHeight="15"/>
  <cols>
    <col min="1" max="1" width="3.5703125" style="6" customWidth="1"/>
    <col min="2" max="6" width="20.5703125" style="6" customWidth="1"/>
    <col min="7" max="7" width="20.140625" style="6" customWidth="1"/>
    <col min="8" max="8" width="17.5703125" style="6" customWidth="1"/>
    <col min="9" max="9" width="20.5703125" style="12" customWidth="1"/>
    <col min="10" max="10" width="18.140625" style="6" customWidth="1"/>
    <col min="11" max="11" width="15.85546875" style="6" customWidth="1"/>
    <col min="12" max="12" width="8.85546875" style="6"/>
    <col min="13" max="13" width="10.85546875" style="6" bestFit="1" customWidth="1"/>
    <col min="14" max="16384" width="8.85546875" style="6"/>
  </cols>
  <sheetData>
    <row r="1" spans="1:13" customFormat="1" ht="25.15" customHeight="1">
      <c r="A1" s="18" t="s">
        <v>0</v>
      </c>
      <c r="B1" s="1"/>
      <c r="C1" s="1"/>
    </row>
    <row r="2" spans="1:13" customFormat="1" ht="25.15" customHeight="1">
      <c r="A2" s="18" t="s">
        <v>2</v>
      </c>
    </row>
    <row r="3" spans="1:13" customFormat="1" ht="25.15" customHeight="1">
      <c r="A3" s="18" t="s">
        <v>137</v>
      </c>
    </row>
    <row r="4" spans="1:13" ht="9" customHeight="1">
      <c r="B4" s="19"/>
      <c r="F4" s="11"/>
    </row>
    <row r="5" spans="1:13" s="14" customFormat="1" ht="42.6" customHeight="1" thickBot="1">
      <c r="B5" s="14" t="s">
        <v>114</v>
      </c>
      <c r="C5" s="17" t="s">
        <v>115</v>
      </c>
      <c r="D5" s="16" t="s">
        <v>116</v>
      </c>
      <c r="E5" s="16" t="s">
        <v>136</v>
      </c>
      <c r="F5" s="16" t="s">
        <v>136</v>
      </c>
      <c r="G5" s="14" t="s">
        <v>117</v>
      </c>
      <c r="H5" s="14" t="s">
        <v>117</v>
      </c>
      <c r="I5" s="15" t="s">
        <v>117</v>
      </c>
      <c r="J5" s="14" t="s">
        <v>117</v>
      </c>
      <c r="K5" s="14" t="s">
        <v>117</v>
      </c>
    </row>
    <row r="6" spans="1:13" s="13" customFormat="1" ht="82.5" customHeight="1" thickBot="1">
      <c r="B6" s="29" t="s">
        <v>20</v>
      </c>
      <c r="C6" s="30" t="s">
        <v>123</v>
      </c>
      <c r="D6" s="30" t="s">
        <v>124</v>
      </c>
      <c r="E6" s="30" t="s">
        <v>135</v>
      </c>
      <c r="F6" s="30" t="s">
        <v>134</v>
      </c>
      <c r="G6" s="30" t="s">
        <v>118</v>
      </c>
      <c r="H6" s="30" t="s">
        <v>113</v>
      </c>
      <c r="I6" s="45" t="s">
        <v>125</v>
      </c>
      <c r="J6" s="30" t="s">
        <v>119</v>
      </c>
      <c r="K6" s="31" t="s">
        <v>133</v>
      </c>
    </row>
    <row r="7" spans="1:13" ht="15.75" thickTop="1">
      <c r="B7" s="46" t="s">
        <v>21</v>
      </c>
      <c r="C7" s="33">
        <v>145.6241</v>
      </c>
      <c r="D7" s="47">
        <v>8333.2099999999991</v>
      </c>
      <c r="E7" s="47">
        <v>8333.2099999999991</v>
      </c>
      <c r="F7" s="48">
        <v>0.108269650591724</v>
      </c>
      <c r="G7" s="47">
        <f>'Fall 2023 P2 FON Calculation'!$E7*(1-'Fall 2023 P2 FON Calculation'!$F7)</f>
        <v>7430.9762649925387</v>
      </c>
      <c r="H7" s="49">
        <f>G7-D7</f>
        <v>-902.23373500746038</v>
      </c>
      <c r="I7" s="50">
        <f>H7/D7</f>
        <v>-0.10826965059172401</v>
      </c>
      <c r="J7" s="51">
        <f>IF(C7*I7&gt;=0,ROUNDDOWN(C7*I7,0),ROUNDUP(C7*I7,0))</f>
        <v>-16</v>
      </c>
      <c r="K7" s="52">
        <f>'Fall 2023 P2 FON Calculation'!$C7+'Fall 2023 P2 FON Calculation'!$J7</f>
        <v>129.6241</v>
      </c>
      <c r="M7" s="76"/>
    </row>
    <row r="8" spans="1:13">
      <c r="B8" s="53" t="s">
        <v>22</v>
      </c>
      <c r="C8" s="54">
        <v>171.36279999999999</v>
      </c>
      <c r="D8" s="55">
        <v>11074.39</v>
      </c>
      <c r="E8" s="55">
        <v>11074.39</v>
      </c>
      <c r="F8" s="56">
        <v>0.10826964895718227</v>
      </c>
      <c r="G8" s="55">
        <f>'Fall 2023 P2 FON Calculation'!$E8*(1-'Fall 2023 P2 FON Calculation'!$F8)</f>
        <v>9875.3696822850688</v>
      </c>
      <c r="H8" s="57">
        <f t="shared" ref="H8:H71" si="0">G8-D8</f>
        <v>-1199.0203177149306</v>
      </c>
      <c r="I8" s="58">
        <f t="shared" ref="I8:I70" si="1">H8/D8</f>
        <v>-0.10826964895718234</v>
      </c>
      <c r="J8" s="59">
        <f t="shared" ref="J8:J71" si="2">IF(C8*I8&gt;=0,ROUNDDOWN(C8*I8,0),ROUNDUP(C8*I8,0))</f>
        <v>-19</v>
      </c>
      <c r="K8" s="60">
        <f>'Fall 2023 P2 FON Calculation'!$C8+'Fall 2023 P2 FON Calculation'!$J8</f>
        <v>152.36279999999999</v>
      </c>
    </row>
    <row r="9" spans="1:13">
      <c r="B9" s="61" t="s">
        <v>23</v>
      </c>
      <c r="C9" s="62">
        <v>32.333500000000001</v>
      </c>
      <c r="D9" s="63">
        <v>2698.48</v>
      </c>
      <c r="E9" s="63">
        <v>2522.5700000000002</v>
      </c>
      <c r="F9" s="64">
        <v>0.10826965210831974</v>
      </c>
      <c r="G9" s="63">
        <f>'Fall 2023 P2 FON Calculation'!$E9*(1-'Fall 2023 P2 FON Calculation'!$F9)</f>
        <v>2249.4522236811158</v>
      </c>
      <c r="H9" s="65">
        <f t="shared" si="0"/>
        <v>-449.02777631888421</v>
      </c>
      <c r="I9" s="66">
        <f t="shared" si="1"/>
        <v>-0.16640026100578259</v>
      </c>
      <c r="J9" s="67">
        <f t="shared" si="2"/>
        <v>-6</v>
      </c>
      <c r="K9" s="68">
        <f>'Fall 2023 P2 FON Calculation'!$C9+'Fall 2023 P2 FON Calculation'!$J9</f>
        <v>26.333500000000001</v>
      </c>
    </row>
    <row r="10" spans="1:13">
      <c r="B10" s="53" t="s">
        <v>24</v>
      </c>
      <c r="C10" s="54">
        <v>169.45410000000001</v>
      </c>
      <c r="D10" s="55">
        <v>9162</v>
      </c>
      <c r="E10" s="55">
        <v>9162</v>
      </c>
      <c r="F10" s="56">
        <v>0.10826964443435649</v>
      </c>
      <c r="G10" s="55">
        <f>'Fall 2023 P2 FON Calculation'!$E10*(1-'Fall 2023 P2 FON Calculation'!$F10)</f>
        <v>8170.0335176924254</v>
      </c>
      <c r="H10" s="57">
        <f t="shared" si="0"/>
        <v>-991.96648230757455</v>
      </c>
      <c r="I10" s="58">
        <f t="shared" si="1"/>
        <v>-0.10826964443435654</v>
      </c>
      <c r="J10" s="59">
        <f t="shared" si="2"/>
        <v>-19</v>
      </c>
      <c r="K10" s="60">
        <f>'Fall 2023 P2 FON Calculation'!$C10+'Fall 2023 P2 FON Calculation'!$J10</f>
        <v>150.45410000000001</v>
      </c>
    </row>
    <row r="11" spans="1:13">
      <c r="B11" s="61" t="s">
        <v>25</v>
      </c>
      <c r="C11" s="62">
        <v>176.76750000000001</v>
      </c>
      <c r="D11" s="63">
        <v>9002.7966666666671</v>
      </c>
      <c r="E11" s="63">
        <v>9490.0400000000009</v>
      </c>
      <c r="F11" s="64">
        <v>0.10826964176651677</v>
      </c>
      <c r="G11" s="63">
        <f>'Fall 2023 P2 FON Calculation'!$E11*(1-'Fall 2023 P2 FON Calculation'!$F11)</f>
        <v>8462.5567688500869</v>
      </c>
      <c r="H11" s="65">
        <f t="shared" si="0"/>
        <v>-540.2398978165802</v>
      </c>
      <c r="I11" s="66">
        <f t="shared" si="1"/>
        <v>-6.000800837997898E-2</v>
      </c>
      <c r="J11" s="67">
        <f t="shared" si="2"/>
        <v>-11</v>
      </c>
      <c r="K11" s="68">
        <f>'Fall 2023 P2 FON Calculation'!$C11+'Fall 2023 P2 FON Calculation'!$J11</f>
        <v>165.76750000000001</v>
      </c>
    </row>
    <row r="12" spans="1:13">
      <c r="B12" s="53" t="s">
        <v>26</v>
      </c>
      <c r="C12" s="54">
        <v>314.9939</v>
      </c>
      <c r="D12" s="55">
        <v>16902.240000000002</v>
      </c>
      <c r="E12" s="55">
        <v>16902.240000000002</v>
      </c>
      <c r="F12" s="56">
        <v>0.10826964720644316</v>
      </c>
      <c r="G12" s="55">
        <f>'Fall 2023 P2 FON Calculation'!$E12*(1-'Fall 2023 P2 FON Calculation'!$F12)</f>
        <v>15072.24043820137</v>
      </c>
      <c r="H12" s="57">
        <f t="shared" si="0"/>
        <v>-1829.9995617986315</v>
      </c>
      <c r="I12" s="58">
        <f t="shared" si="1"/>
        <v>-0.10826964720644312</v>
      </c>
      <c r="J12" s="59">
        <f t="shared" si="2"/>
        <v>-35</v>
      </c>
      <c r="K12" s="60">
        <f>'Fall 2023 P2 FON Calculation'!$C12+'Fall 2023 P2 FON Calculation'!$J12</f>
        <v>279.9939</v>
      </c>
    </row>
    <row r="13" spans="1:13">
      <c r="B13" s="61" t="s">
        <v>27</v>
      </c>
      <c r="C13" s="62">
        <v>322.96730000000002</v>
      </c>
      <c r="D13" s="63">
        <v>16803.900000000001</v>
      </c>
      <c r="E13" s="63">
        <v>15362.143333333332</v>
      </c>
      <c r="F13" s="64">
        <v>0.1082696485051714</v>
      </c>
      <c r="G13" s="63">
        <f>'Fall 2023 P2 FON Calculation'!$E13*(1-'Fall 2023 P2 FON Calculation'!$F13)</f>
        <v>13698.88947434727</v>
      </c>
      <c r="H13" s="65">
        <f t="shared" si="0"/>
        <v>-3105.0105256527313</v>
      </c>
      <c r="I13" s="66">
        <f t="shared" si="1"/>
        <v>-0.1847791599362488</v>
      </c>
      <c r="J13" s="67">
        <f t="shared" si="2"/>
        <v>-60</v>
      </c>
      <c r="K13" s="68">
        <f>'Fall 2023 P2 FON Calculation'!$C13+'Fall 2023 P2 FON Calculation'!$J13</f>
        <v>262.96730000000002</v>
      </c>
    </row>
    <row r="14" spans="1:13">
      <c r="B14" s="53" t="s">
        <v>28</v>
      </c>
      <c r="C14" s="54">
        <v>289.58510000000001</v>
      </c>
      <c r="D14" s="55">
        <v>17778.29336289996</v>
      </c>
      <c r="E14" s="55">
        <v>16387.538248035769</v>
      </c>
      <c r="F14" s="56">
        <v>0.1082696479997709</v>
      </c>
      <c r="G14" s="55">
        <f>'Fall 2023 P2 FON Calculation'!$E14*(1-'Fall 2023 P2 FON Calculation'!$F14)</f>
        <v>14613.265250338154</v>
      </c>
      <c r="H14" s="57">
        <f t="shared" si="0"/>
        <v>-3165.0281125618058</v>
      </c>
      <c r="I14" s="58">
        <f t="shared" si="1"/>
        <v>-0.17802766823314095</v>
      </c>
      <c r="J14" s="59">
        <f t="shared" si="2"/>
        <v>-52</v>
      </c>
      <c r="K14" s="60">
        <f>'Fall 2023 P2 FON Calculation'!$C14+'Fall 2023 P2 FON Calculation'!$J14</f>
        <v>237.58510000000001</v>
      </c>
    </row>
    <row r="15" spans="1:13">
      <c r="B15" s="61" t="s">
        <v>29</v>
      </c>
      <c r="C15" s="62">
        <v>187.0453</v>
      </c>
      <c r="D15" s="63">
        <v>11136.78</v>
      </c>
      <c r="E15" s="63">
        <v>11136.78</v>
      </c>
      <c r="F15" s="64">
        <v>0.10826964372080206</v>
      </c>
      <c r="G15" s="63">
        <f>'Fall 2023 P2 FON Calculation'!$E15*(1-'Fall 2023 P2 FON Calculation'!$F15)</f>
        <v>9931.0047972030461</v>
      </c>
      <c r="H15" s="65">
        <f t="shared" si="0"/>
        <v>-1205.7752027969545</v>
      </c>
      <c r="I15" s="66">
        <f t="shared" si="1"/>
        <v>-0.10826964372080211</v>
      </c>
      <c r="J15" s="67">
        <f t="shared" si="2"/>
        <v>-21</v>
      </c>
      <c r="K15" s="68">
        <f>'Fall 2023 P2 FON Calculation'!$C15+'Fall 2023 P2 FON Calculation'!$J15</f>
        <v>166.0453</v>
      </c>
    </row>
    <row r="16" spans="1:13">
      <c r="B16" s="53" t="s">
        <v>30</v>
      </c>
      <c r="C16" s="54">
        <v>418.86709999999999</v>
      </c>
      <c r="D16" s="55">
        <v>27972.5</v>
      </c>
      <c r="E16" s="55">
        <v>27972.5</v>
      </c>
      <c r="F16" s="56">
        <v>0.10826964675471129</v>
      </c>
      <c r="G16" s="55">
        <f>'Fall 2023 P2 FON Calculation'!$E16*(1-'Fall 2023 P2 FON Calculation'!$F16)</f>
        <v>24943.927306153837</v>
      </c>
      <c r="H16" s="57">
        <f t="shared" si="0"/>
        <v>-3028.572693846163</v>
      </c>
      <c r="I16" s="58">
        <f t="shared" si="1"/>
        <v>-0.10826964675471135</v>
      </c>
      <c r="J16" s="59">
        <f t="shared" si="2"/>
        <v>-46</v>
      </c>
      <c r="K16" s="60">
        <f>'Fall 2023 P2 FON Calculation'!$C16+'Fall 2023 P2 FON Calculation'!$J16</f>
        <v>372.86709999999999</v>
      </c>
    </row>
    <row r="17" spans="2:11">
      <c r="B17" s="61" t="s">
        <v>31</v>
      </c>
      <c r="C17" s="62">
        <v>35.951000000000001</v>
      </c>
      <c r="D17" s="63">
        <v>5961.7252757625392</v>
      </c>
      <c r="E17" s="63">
        <v>6081.8271440649914</v>
      </c>
      <c r="F17" s="64">
        <v>0.10826965674675804</v>
      </c>
      <c r="G17" s="63">
        <f>'Fall 2023 P2 FON Calculation'!$E17*(1-'Fall 2023 P2 FON Calculation'!$F17)</f>
        <v>5423.3498067839591</v>
      </c>
      <c r="H17" s="65">
        <f t="shared" si="0"/>
        <v>-538.3754689785801</v>
      </c>
      <c r="I17" s="66">
        <f t="shared" si="1"/>
        <v>-9.0305313323871456E-2</v>
      </c>
      <c r="J17" s="67">
        <f t="shared" si="2"/>
        <v>-4</v>
      </c>
      <c r="K17" s="68">
        <f>'Fall 2023 P2 FON Calculation'!$C17+'Fall 2023 P2 FON Calculation'!$J17</f>
        <v>31.951000000000001</v>
      </c>
    </row>
    <row r="18" spans="2:11">
      <c r="B18" s="53" t="s">
        <v>32</v>
      </c>
      <c r="C18" s="54">
        <v>413.01979999999998</v>
      </c>
      <c r="D18" s="55">
        <v>28514.599999999995</v>
      </c>
      <c r="E18" s="55">
        <v>28514.599999999995</v>
      </c>
      <c r="F18" s="56">
        <v>0.1082696476469871</v>
      </c>
      <c r="G18" s="55">
        <f>'Fall 2023 P2 FON Calculation'!$E18*(1-'Fall 2023 P2 FON Calculation'!$F18)</f>
        <v>25427.334305205219</v>
      </c>
      <c r="H18" s="57">
        <f t="shared" si="0"/>
        <v>-3087.2656947947762</v>
      </c>
      <c r="I18" s="58">
        <f t="shared" si="1"/>
        <v>-0.10826964764698704</v>
      </c>
      <c r="J18" s="59">
        <f t="shared" si="2"/>
        <v>-45</v>
      </c>
      <c r="K18" s="60">
        <f>'Fall 2023 P2 FON Calculation'!$C18+'Fall 2023 P2 FON Calculation'!$J18</f>
        <v>368.01979999999998</v>
      </c>
    </row>
    <row r="19" spans="2:11">
      <c r="B19" s="61" t="s">
        <v>33</v>
      </c>
      <c r="C19" s="62">
        <v>9.6952999999999996</v>
      </c>
      <c r="D19" s="63">
        <v>1378.84</v>
      </c>
      <c r="E19" s="63">
        <v>1378.84</v>
      </c>
      <c r="F19" s="64">
        <v>0.10826967053661696</v>
      </c>
      <c r="G19" s="63">
        <f>'Fall 2023 P2 FON Calculation'!$E19*(1-'Fall 2023 P2 FON Calculation'!$F19)</f>
        <v>1229.553447477291</v>
      </c>
      <c r="H19" s="65">
        <f t="shared" si="0"/>
        <v>-149.28655252270892</v>
      </c>
      <c r="I19" s="66">
        <f t="shared" si="1"/>
        <v>-0.10826967053661696</v>
      </c>
      <c r="J19" s="67">
        <f t="shared" si="2"/>
        <v>-2</v>
      </c>
      <c r="K19" s="68">
        <f>'Fall 2023 P2 FON Calculation'!$C19+'Fall 2023 P2 FON Calculation'!$J19</f>
        <v>7.6952999999999996</v>
      </c>
    </row>
    <row r="20" spans="2:11">
      <c r="B20" s="53" t="s">
        <v>34</v>
      </c>
      <c r="C20" s="54">
        <v>140.8176</v>
      </c>
      <c r="D20" s="55">
        <v>8798.51</v>
      </c>
      <c r="E20" s="55">
        <v>8798.51</v>
      </c>
      <c r="F20" s="56">
        <v>0.10826964427311403</v>
      </c>
      <c r="G20" s="55">
        <f>'Fall 2023 P2 FON Calculation'!$E20*(1-'Fall 2023 P2 FON Calculation'!$F20)</f>
        <v>7845.8984521665634</v>
      </c>
      <c r="H20" s="57">
        <f t="shared" si="0"/>
        <v>-952.61154783343682</v>
      </c>
      <c r="I20" s="58">
        <f t="shared" si="1"/>
        <v>-0.10826964427311406</v>
      </c>
      <c r="J20" s="59">
        <f t="shared" si="2"/>
        <v>-16</v>
      </c>
      <c r="K20" s="60">
        <f>'Fall 2023 P2 FON Calculation'!$C20+'Fall 2023 P2 FON Calculation'!$J20</f>
        <v>124.8176</v>
      </c>
    </row>
    <row r="21" spans="2:11">
      <c r="B21" s="61" t="s">
        <v>35</v>
      </c>
      <c r="C21" s="62">
        <v>361.95920000000001</v>
      </c>
      <c r="D21" s="63">
        <v>18941.57</v>
      </c>
      <c r="E21" s="63">
        <v>18941.57</v>
      </c>
      <c r="F21" s="64">
        <v>0.1082696508928831</v>
      </c>
      <c r="G21" s="63">
        <f>'Fall 2023 P2 FON Calculation'!$E21*(1-'Fall 2023 P2 FON Calculation'!$F21)</f>
        <v>16890.772828736892</v>
      </c>
      <c r="H21" s="65">
        <f t="shared" si="0"/>
        <v>-2050.7971712631079</v>
      </c>
      <c r="I21" s="66">
        <f t="shared" si="1"/>
        <v>-0.10826965089288311</v>
      </c>
      <c r="J21" s="67">
        <f t="shared" si="2"/>
        <v>-40</v>
      </c>
      <c r="K21" s="68">
        <f>'Fall 2023 P2 FON Calculation'!$C21+'Fall 2023 P2 FON Calculation'!$J21</f>
        <v>321.95920000000001</v>
      </c>
    </row>
    <row r="22" spans="2:11">
      <c r="B22" s="53" t="s">
        <v>36</v>
      </c>
      <c r="C22" s="54">
        <v>19.3188</v>
      </c>
      <c r="D22" s="55">
        <v>1638.5099937721566</v>
      </c>
      <c r="E22" s="55">
        <v>1638.5099937721566</v>
      </c>
      <c r="F22" s="56">
        <v>0.10826965543205225</v>
      </c>
      <c r="G22" s="55">
        <f>'Fall 2023 P2 FON Calculation'!$E22*(1-'Fall 2023 P2 FON Calculation'!$F22)</f>
        <v>1461.1090813244712</v>
      </c>
      <c r="H22" s="57">
        <f t="shared" si="0"/>
        <v>-177.40091244768541</v>
      </c>
      <c r="I22" s="58">
        <f t="shared" si="1"/>
        <v>-0.10826965543205222</v>
      </c>
      <c r="J22" s="59">
        <f t="shared" si="2"/>
        <v>-3</v>
      </c>
      <c r="K22" s="60">
        <f>'Fall 2023 P2 FON Calculation'!$C22+'Fall 2023 P2 FON Calculation'!$J22</f>
        <v>16.3188</v>
      </c>
    </row>
    <row r="23" spans="2:11">
      <c r="B23" s="61" t="s">
        <v>37</v>
      </c>
      <c r="C23" s="62">
        <v>396.55779999999999</v>
      </c>
      <c r="D23" s="63">
        <v>22306.656666666669</v>
      </c>
      <c r="E23" s="63">
        <v>21507.823333333334</v>
      </c>
      <c r="F23" s="64">
        <v>0.10826964805521733</v>
      </c>
      <c r="G23" s="63">
        <f>'Fall 2023 P2 FON Calculation'!$E23*(1-'Fall 2023 P2 FON Calculation'!$F23)</f>
        <v>19179.178870599542</v>
      </c>
      <c r="H23" s="65">
        <f t="shared" si="0"/>
        <v>-3127.4777960671272</v>
      </c>
      <c r="I23" s="66">
        <f t="shared" si="1"/>
        <v>-0.14020378951457063</v>
      </c>
      <c r="J23" s="67">
        <f t="shared" si="2"/>
        <v>-56</v>
      </c>
      <c r="K23" s="68">
        <f>'Fall 2023 P2 FON Calculation'!$C23+'Fall 2023 P2 FON Calculation'!$J23</f>
        <v>340.55779999999999</v>
      </c>
    </row>
    <row r="24" spans="2:11">
      <c r="B24" s="53" t="s">
        <v>38</v>
      </c>
      <c r="C24" s="54">
        <v>74.532399999999996</v>
      </c>
      <c r="D24" s="55">
        <v>4574.3100000000004</v>
      </c>
      <c r="E24" s="55">
        <v>4574.3100000000004</v>
      </c>
      <c r="F24" s="56">
        <v>0.10826964390292848</v>
      </c>
      <c r="G24" s="55">
        <f>'Fall 2023 P2 FON Calculation'!$E24*(1-'Fall 2023 P2 FON Calculation'!$F24)</f>
        <v>4079.0510851983954</v>
      </c>
      <c r="H24" s="57">
        <f t="shared" si="0"/>
        <v>-495.25891480160499</v>
      </c>
      <c r="I24" s="58">
        <f t="shared" si="1"/>
        <v>-0.10826964390292852</v>
      </c>
      <c r="J24" s="59">
        <f t="shared" si="2"/>
        <v>-9</v>
      </c>
      <c r="K24" s="60">
        <f>'Fall 2023 P2 FON Calculation'!$C24+'Fall 2023 P2 FON Calculation'!$J24</f>
        <v>65.532399999999996</v>
      </c>
    </row>
    <row r="25" spans="2:11">
      <c r="B25" s="61" t="s">
        <v>39</v>
      </c>
      <c r="C25" s="62">
        <v>226.0789</v>
      </c>
      <c r="D25" s="63">
        <v>11424.190000000002</v>
      </c>
      <c r="E25" s="63">
        <v>11424.190000000002</v>
      </c>
      <c r="F25" s="64">
        <v>0.10826964289805141</v>
      </c>
      <c r="G25" s="63">
        <f>'Fall 2023 P2 FON Calculation'!$E25*(1-'Fall 2023 P2 FON Calculation'!$F25)</f>
        <v>10187.297028300512</v>
      </c>
      <c r="H25" s="65">
        <f t="shared" si="0"/>
        <v>-1236.8929716994899</v>
      </c>
      <c r="I25" s="66">
        <f t="shared" si="1"/>
        <v>-0.10826964289805138</v>
      </c>
      <c r="J25" s="67">
        <f t="shared" si="2"/>
        <v>-25</v>
      </c>
      <c r="K25" s="68">
        <f>'Fall 2023 P2 FON Calculation'!$C25+'Fall 2023 P2 FON Calculation'!$J25</f>
        <v>201.0789</v>
      </c>
    </row>
    <row r="26" spans="2:11">
      <c r="B26" s="53" t="s">
        <v>40</v>
      </c>
      <c r="C26" s="54">
        <v>302.54349999999999</v>
      </c>
      <c r="D26" s="55">
        <v>17019.310000000001</v>
      </c>
      <c r="E26" s="55">
        <v>17019.310000000001</v>
      </c>
      <c r="F26" s="56">
        <v>0.10826964480068291</v>
      </c>
      <c r="G26" s="55">
        <f>'Fall 2023 P2 FON Calculation'!$E26*(1-'Fall 2023 P2 FON Calculation'!$F26)</f>
        <v>15176.635351547291</v>
      </c>
      <c r="H26" s="57">
        <f t="shared" si="0"/>
        <v>-1842.6746484527102</v>
      </c>
      <c r="I26" s="58">
        <f t="shared" si="1"/>
        <v>-0.10826964480068288</v>
      </c>
      <c r="J26" s="59">
        <f t="shared" si="2"/>
        <v>-33</v>
      </c>
      <c r="K26" s="60">
        <f>'Fall 2023 P2 FON Calculation'!$C26+'Fall 2023 P2 FON Calculation'!$J26</f>
        <v>269.54349999999999</v>
      </c>
    </row>
    <row r="27" spans="2:11">
      <c r="B27" s="61" t="s">
        <v>41</v>
      </c>
      <c r="C27" s="62">
        <v>120.95829999999999</v>
      </c>
      <c r="D27" s="63">
        <v>7340.377861470176</v>
      </c>
      <c r="E27" s="63">
        <v>7340.377861470176</v>
      </c>
      <c r="F27" s="64">
        <v>0.10826965360683949</v>
      </c>
      <c r="G27" s="63">
        <f>'Fall 2023 P2 FON Calculation'!$E27*(1-'Fall 2023 P2 FON Calculation'!$F27)</f>
        <v>6545.6376930654869</v>
      </c>
      <c r="H27" s="65">
        <f t="shared" si="0"/>
        <v>-794.74016840468903</v>
      </c>
      <c r="I27" s="66">
        <f t="shared" si="1"/>
        <v>-0.10826965360683947</v>
      </c>
      <c r="J27" s="67">
        <f t="shared" si="2"/>
        <v>-14</v>
      </c>
      <c r="K27" s="68">
        <f>'Fall 2023 P2 FON Calculation'!$C27+'Fall 2023 P2 FON Calculation'!$J27</f>
        <v>106.95829999999999</v>
      </c>
    </row>
    <row r="28" spans="2:11">
      <c r="B28" s="53" t="s">
        <v>42</v>
      </c>
      <c r="C28" s="54">
        <v>118.06059999999999</v>
      </c>
      <c r="D28" s="55">
        <v>7364.05</v>
      </c>
      <c r="E28" s="55">
        <v>7364.05</v>
      </c>
      <c r="F28" s="56">
        <v>0.10826964652704851</v>
      </c>
      <c r="G28" s="55">
        <f>'Fall 2023 P2 FON Calculation'!$E28*(1-'Fall 2023 P2 FON Calculation'!$F28)</f>
        <v>6566.7469094924882</v>
      </c>
      <c r="H28" s="57">
        <f t="shared" si="0"/>
        <v>-797.30309050751202</v>
      </c>
      <c r="I28" s="58">
        <f t="shared" si="1"/>
        <v>-0.10826964652704857</v>
      </c>
      <c r="J28" s="59">
        <f t="shared" si="2"/>
        <v>-13</v>
      </c>
      <c r="K28" s="60">
        <f>'Fall 2023 P2 FON Calculation'!$C28+'Fall 2023 P2 FON Calculation'!$J28</f>
        <v>105.06059999999999</v>
      </c>
    </row>
    <row r="29" spans="2:11">
      <c r="B29" s="61" t="s">
        <v>43</v>
      </c>
      <c r="C29" s="62">
        <v>490.78919999999999</v>
      </c>
      <c r="D29" s="63">
        <v>22503.579999999998</v>
      </c>
      <c r="E29" s="63">
        <v>24076.186666666665</v>
      </c>
      <c r="F29" s="64">
        <v>0.10826964966867536</v>
      </c>
      <c r="G29" s="63">
        <f>'Fall 2023 P2 FON Calculation'!$E29*(1-'Fall 2023 P2 FON Calculation'!$F29)</f>
        <v>21469.466370909031</v>
      </c>
      <c r="H29" s="65">
        <f t="shared" si="0"/>
        <v>-1034.1136290909672</v>
      </c>
      <c r="I29" s="66">
        <f t="shared" si="1"/>
        <v>-4.5953294057699587E-2</v>
      </c>
      <c r="J29" s="67">
        <f t="shared" si="2"/>
        <v>-23</v>
      </c>
      <c r="K29" s="68">
        <f>'Fall 2023 P2 FON Calculation'!$C29+'Fall 2023 P2 FON Calculation'!$J29</f>
        <v>467.78919999999999</v>
      </c>
    </row>
    <row r="30" spans="2:11">
      <c r="B30" s="53" t="s">
        <v>44</v>
      </c>
      <c r="C30" s="54">
        <v>19.559999999999999</v>
      </c>
      <c r="D30" s="55">
        <v>1628.82</v>
      </c>
      <c r="E30" s="55">
        <v>1760.5179147827969</v>
      </c>
      <c r="F30" s="56">
        <v>0.10826965588652948</v>
      </c>
      <c r="G30" s="55">
        <f>'Fall 2023 P2 FON Calculation'!$E30*(1-'Fall 2023 P2 FON Calculation'!$F30)</f>
        <v>1569.9072459671929</v>
      </c>
      <c r="H30" s="57">
        <f t="shared" si="0"/>
        <v>-58.912754032807015</v>
      </c>
      <c r="I30" s="58">
        <f t="shared" si="1"/>
        <v>-3.6168977562165874E-2</v>
      </c>
      <c r="J30" s="59">
        <f t="shared" si="2"/>
        <v>-1</v>
      </c>
      <c r="K30" s="60">
        <f>'Fall 2023 P2 FON Calculation'!$C30+'Fall 2023 P2 FON Calculation'!$J30</f>
        <v>18.559999999999999</v>
      </c>
    </row>
    <row r="31" spans="2:11">
      <c r="B31" s="61" t="s">
        <v>45</v>
      </c>
      <c r="C31" s="62">
        <v>15.046900000000001</v>
      </c>
      <c r="D31" s="63">
        <v>1372.1366666666665</v>
      </c>
      <c r="E31" s="63">
        <v>1372.1366666666665</v>
      </c>
      <c r="F31" s="64">
        <v>0.10826964918598925</v>
      </c>
      <c r="G31" s="63">
        <f>'Fall 2023 P2 FON Calculation'!$E31*(1-'Fall 2023 P2 FON Calculation'!$F31)</f>
        <v>1223.5759111314339</v>
      </c>
      <c r="H31" s="65">
        <f t="shared" si="0"/>
        <v>-148.5607555352326</v>
      </c>
      <c r="I31" s="66">
        <f t="shared" si="1"/>
        <v>-0.10826964918598921</v>
      </c>
      <c r="J31" s="67">
        <f t="shared" si="2"/>
        <v>-2</v>
      </c>
      <c r="K31" s="68">
        <f>'Fall 2023 P2 FON Calculation'!$C31+'Fall 2023 P2 FON Calculation'!$J31</f>
        <v>13.046900000000001</v>
      </c>
    </row>
    <row r="32" spans="2:11">
      <c r="B32" s="53" t="s">
        <v>46</v>
      </c>
      <c r="C32" s="54">
        <v>371.959</v>
      </c>
      <c r="D32" s="55">
        <v>19393.689999999999</v>
      </c>
      <c r="E32" s="55">
        <v>19393.689999999999</v>
      </c>
      <c r="F32" s="56">
        <v>0.10826964732314837</v>
      </c>
      <c r="G32" s="55">
        <f>'Fall 2023 P2 FON Calculation'!$E32*(1-'Fall 2023 P2 FON Calculation'!$F32)</f>
        <v>17293.942023405529</v>
      </c>
      <c r="H32" s="57">
        <f t="shared" si="0"/>
        <v>-2099.7479765944699</v>
      </c>
      <c r="I32" s="58">
        <f t="shared" si="1"/>
        <v>-0.10826964732314841</v>
      </c>
      <c r="J32" s="59">
        <f t="shared" si="2"/>
        <v>-41</v>
      </c>
      <c r="K32" s="60">
        <f>'Fall 2023 P2 FON Calculation'!$C32+'Fall 2023 P2 FON Calculation'!$J32</f>
        <v>330.959</v>
      </c>
    </row>
    <row r="33" spans="2:11">
      <c r="B33" s="61" t="s">
        <v>47</v>
      </c>
      <c r="C33" s="62">
        <v>1648.7841000000001</v>
      </c>
      <c r="D33" s="63">
        <v>91508.81</v>
      </c>
      <c r="E33" s="63">
        <v>91508.81</v>
      </c>
      <c r="F33" s="64">
        <v>0.10826964740563061</v>
      </c>
      <c r="G33" s="63">
        <f>'Fall 2023 P2 FON Calculation'!$E33*(1-'Fall 2023 P2 FON Calculation'!$F33)</f>
        <v>81601.183406791155</v>
      </c>
      <c r="H33" s="65">
        <f t="shared" si="0"/>
        <v>-9907.6265932088427</v>
      </c>
      <c r="I33" s="66">
        <f t="shared" si="1"/>
        <v>-0.1082696474056306</v>
      </c>
      <c r="J33" s="67">
        <f t="shared" si="2"/>
        <v>-179</v>
      </c>
      <c r="K33" s="68">
        <f>'Fall 2023 P2 FON Calculation'!$C33+'Fall 2023 P2 FON Calculation'!$J33</f>
        <v>1469.7841000000001</v>
      </c>
    </row>
    <row r="34" spans="2:11">
      <c r="B34" s="53" t="s">
        <v>48</v>
      </c>
      <c r="C34" s="54">
        <v>909.10069999999996</v>
      </c>
      <c r="D34" s="55">
        <v>44337.570000000007</v>
      </c>
      <c r="E34" s="55">
        <v>43662.439999999988</v>
      </c>
      <c r="F34" s="56">
        <v>0.10826964678944018</v>
      </c>
      <c r="G34" s="55">
        <f>'Fall 2023 P2 FON Calculation'!$E34*(1-'Fall 2023 P2 FON Calculation'!$F34)</f>
        <v>38935.123043234868</v>
      </c>
      <c r="H34" s="57">
        <f t="shared" si="0"/>
        <v>-5402.4469567651395</v>
      </c>
      <c r="I34" s="58">
        <f t="shared" si="1"/>
        <v>-0.12184806151453809</v>
      </c>
      <c r="J34" s="59">
        <f t="shared" si="2"/>
        <v>-111</v>
      </c>
      <c r="K34" s="60">
        <f>'Fall 2023 P2 FON Calculation'!$C34+'Fall 2023 P2 FON Calculation'!$J34</f>
        <v>798.10069999999996</v>
      </c>
    </row>
    <row r="35" spans="2:11">
      <c r="B35" s="61" t="s">
        <v>49</v>
      </c>
      <c r="C35" s="62">
        <v>55.504600000000003</v>
      </c>
      <c r="D35" s="63">
        <v>2933.77</v>
      </c>
      <c r="E35" s="63">
        <v>2891.3233333333333</v>
      </c>
      <c r="F35" s="64">
        <v>0.10827000000000001</v>
      </c>
      <c r="G35" s="63">
        <f>'Fall 2023 P2 FON Calculation'!$E35*(1-'Fall 2023 P2 FON Calculation'!$F35)</f>
        <v>2578.2797560333333</v>
      </c>
      <c r="H35" s="65">
        <f t="shared" si="0"/>
        <v>-355.49024396666664</v>
      </c>
      <c r="I35" s="66">
        <f t="shared" si="1"/>
        <v>-0.12117181782030174</v>
      </c>
      <c r="J35" s="67">
        <f t="shared" si="2"/>
        <v>-7</v>
      </c>
      <c r="K35" s="68">
        <f>'Fall 2023 P2 FON Calculation'!$C35+'Fall 2023 P2 FON Calculation'!$J35</f>
        <v>48.504600000000003</v>
      </c>
    </row>
    <row r="36" spans="2:11">
      <c r="B36" s="53" t="s">
        <v>50</v>
      </c>
      <c r="C36" s="54">
        <v>50.740099999999998</v>
      </c>
      <c r="D36" s="55">
        <v>3234.9399999999996</v>
      </c>
      <c r="E36" s="55">
        <v>3011.64</v>
      </c>
      <c r="F36" s="56">
        <v>0.10826964491272284</v>
      </c>
      <c r="G36" s="55">
        <f>'Fall 2023 P2 FON Calculation'!$E36*(1-'Fall 2023 P2 FON Calculation'!$F36)</f>
        <v>2685.5708065950471</v>
      </c>
      <c r="H36" s="57">
        <f t="shared" si="0"/>
        <v>-549.36919340495251</v>
      </c>
      <c r="I36" s="58">
        <f t="shared" si="1"/>
        <v>-0.16982361138226754</v>
      </c>
      <c r="J36" s="59">
        <f t="shared" si="2"/>
        <v>-9</v>
      </c>
      <c r="K36" s="60">
        <f>'Fall 2023 P2 FON Calculation'!$C36+'Fall 2023 P2 FON Calculation'!$J36</f>
        <v>41.740099999999998</v>
      </c>
    </row>
    <row r="37" spans="2:11">
      <c r="B37" s="61" t="s">
        <v>51</v>
      </c>
      <c r="C37" s="62">
        <v>198.74430000000001</v>
      </c>
      <c r="D37" s="63">
        <v>9108.0419105115761</v>
      </c>
      <c r="E37" s="63">
        <v>8822.3919105115783</v>
      </c>
      <c r="F37" s="64">
        <v>0.10826964930187755</v>
      </c>
      <c r="G37" s="63">
        <f>'Fall 2023 P2 FON Calculation'!$E37*(1-'Fall 2023 P2 FON Calculation'!$F37)</f>
        <v>7867.1946323567681</v>
      </c>
      <c r="H37" s="65">
        <f t="shared" si="0"/>
        <v>-1240.847278154808</v>
      </c>
      <c r="I37" s="66">
        <f t="shared" si="1"/>
        <v>-0.13623644800346693</v>
      </c>
      <c r="J37" s="67">
        <f t="shared" si="2"/>
        <v>-28</v>
      </c>
      <c r="K37" s="68">
        <f>'Fall 2023 P2 FON Calculation'!$C37+'Fall 2023 P2 FON Calculation'!$J37</f>
        <v>170.74430000000001</v>
      </c>
    </row>
    <row r="38" spans="2:11">
      <c r="B38" s="53" t="s">
        <v>52</v>
      </c>
      <c r="C38" s="54">
        <v>165.2406</v>
      </c>
      <c r="D38" s="55">
        <v>9606.68</v>
      </c>
      <c r="E38" s="55">
        <v>9606.68</v>
      </c>
      <c r="F38" s="56">
        <v>0.10827000000000001</v>
      </c>
      <c r="G38" s="55">
        <f>'Fall 2023 P2 FON Calculation'!$E38*(1-'Fall 2023 P2 FON Calculation'!$F38)</f>
        <v>8566.564756400001</v>
      </c>
      <c r="H38" s="57">
        <f t="shared" si="0"/>
        <v>-1040.1152435999993</v>
      </c>
      <c r="I38" s="58">
        <f t="shared" si="1"/>
        <v>-0.10826999999999992</v>
      </c>
      <c r="J38" s="59">
        <f t="shared" si="2"/>
        <v>-18</v>
      </c>
      <c r="K38" s="60">
        <f>'Fall 2023 P2 FON Calculation'!$C38+'Fall 2023 P2 FON Calculation'!$J38</f>
        <v>147.2406</v>
      </c>
    </row>
    <row r="39" spans="2:11">
      <c r="B39" s="61" t="s">
        <v>53</v>
      </c>
      <c r="C39" s="62">
        <v>122.68680000000001</v>
      </c>
      <c r="D39" s="63">
        <v>6086.63</v>
      </c>
      <c r="E39" s="63">
        <v>5828.203333333332</v>
      </c>
      <c r="F39" s="64">
        <v>0.10826965011864143</v>
      </c>
      <c r="G39" s="63">
        <f>'Fall 2023 P2 FON Calculation'!$E39*(1-'Fall 2023 P2 FON Calculation'!$F39)</f>
        <v>5197.1857976130323</v>
      </c>
      <c r="H39" s="65">
        <f t="shared" si="0"/>
        <v>-889.44420238696785</v>
      </c>
      <c r="I39" s="66">
        <f t="shared" si="1"/>
        <v>-0.14613081498086261</v>
      </c>
      <c r="J39" s="67">
        <f t="shared" si="2"/>
        <v>-18</v>
      </c>
      <c r="K39" s="68">
        <f>'Fall 2023 P2 FON Calculation'!$C39+'Fall 2023 P2 FON Calculation'!$J39</f>
        <v>104.68680000000001</v>
      </c>
    </row>
    <row r="40" spans="2:11">
      <c r="B40" s="53" t="s">
        <v>54</v>
      </c>
      <c r="C40" s="54">
        <v>471.09750000000003</v>
      </c>
      <c r="D40" s="55">
        <v>24775.33</v>
      </c>
      <c r="E40" s="55">
        <v>24775.33</v>
      </c>
      <c r="F40" s="56">
        <v>0.10826964780448656</v>
      </c>
      <c r="G40" s="55">
        <f>'Fall 2023 P2 FON Calculation'!$E40*(1-'Fall 2023 P2 FON Calculation'!$F40)</f>
        <v>22092.913746660073</v>
      </c>
      <c r="H40" s="57">
        <f t="shared" si="0"/>
        <v>-2682.4162533399285</v>
      </c>
      <c r="I40" s="58">
        <f t="shared" si="1"/>
        <v>-0.10826964780448649</v>
      </c>
      <c r="J40" s="59">
        <f t="shared" si="2"/>
        <v>-52</v>
      </c>
      <c r="K40" s="60">
        <f>'Fall 2023 P2 FON Calculation'!$C40+'Fall 2023 P2 FON Calculation'!$J40</f>
        <v>419.09750000000003</v>
      </c>
    </row>
    <row r="41" spans="2:11">
      <c r="B41" s="61" t="s">
        <v>55</v>
      </c>
      <c r="C41" s="62">
        <v>171.57810000000001</v>
      </c>
      <c r="D41" s="63">
        <v>11703.709999999997</v>
      </c>
      <c r="E41" s="63">
        <v>11703.709999999997</v>
      </c>
      <c r="F41" s="64">
        <v>0.10826964580029297</v>
      </c>
      <c r="G41" s="63">
        <f>'Fall 2023 P2 FON Calculation'!$E41*(1-'Fall 2023 P2 FON Calculation'!$F41)</f>
        <v>10436.553463750652</v>
      </c>
      <c r="H41" s="65">
        <f t="shared" si="0"/>
        <v>-1267.1565362493457</v>
      </c>
      <c r="I41" s="66">
        <f t="shared" si="1"/>
        <v>-0.1082696458002929</v>
      </c>
      <c r="J41" s="67">
        <f t="shared" si="2"/>
        <v>-19</v>
      </c>
      <c r="K41" s="68">
        <f>'Fall 2023 P2 FON Calculation'!$C41+'Fall 2023 P2 FON Calculation'!$J41</f>
        <v>152.57810000000001</v>
      </c>
    </row>
    <row r="42" spans="2:11">
      <c r="B42" s="53" t="s">
        <v>56</v>
      </c>
      <c r="C42" s="54">
        <v>83.383899999999997</v>
      </c>
      <c r="D42" s="55">
        <v>4361.8500000000004</v>
      </c>
      <c r="E42" s="55">
        <v>3915.4700000000003</v>
      </c>
      <c r="F42" s="56">
        <v>0.10827000000000001</v>
      </c>
      <c r="G42" s="55">
        <f>'Fall 2023 P2 FON Calculation'!$E42*(1-'Fall 2023 P2 FON Calculation'!$F42)</f>
        <v>3491.5420631000002</v>
      </c>
      <c r="H42" s="57">
        <f t="shared" si="0"/>
        <v>-870.30793690000019</v>
      </c>
      <c r="I42" s="58">
        <f t="shared" si="1"/>
        <v>-0.19952725034102506</v>
      </c>
      <c r="J42" s="59">
        <f t="shared" si="2"/>
        <v>-17</v>
      </c>
      <c r="K42" s="60">
        <f>'Fall 2023 P2 FON Calculation'!$C42+'Fall 2023 P2 FON Calculation'!$J42</f>
        <v>66.383899999999997</v>
      </c>
    </row>
    <row r="43" spans="2:11">
      <c r="B43" s="61" t="s">
        <v>57</v>
      </c>
      <c r="C43" s="62">
        <v>570.17700000000002</v>
      </c>
      <c r="D43" s="63">
        <v>28588.01</v>
      </c>
      <c r="E43" s="63">
        <v>28588.01</v>
      </c>
      <c r="F43" s="64">
        <v>0.10826964602359512</v>
      </c>
      <c r="G43" s="63">
        <f>'Fall 2023 P2 FON Calculation'!$E43*(1-'Fall 2023 P2 FON Calculation'!$F43)</f>
        <v>25492.796276781002</v>
      </c>
      <c r="H43" s="65">
        <f t="shared" si="0"/>
        <v>-3095.2137232189962</v>
      </c>
      <c r="I43" s="66">
        <f t="shared" si="1"/>
        <v>-0.10826964602359508</v>
      </c>
      <c r="J43" s="67">
        <f t="shared" si="2"/>
        <v>-62</v>
      </c>
      <c r="K43" s="68">
        <f>'Fall 2023 P2 FON Calculation'!$C43+'Fall 2023 P2 FON Calculation'!$J43</f>
        <v>508.17700000000002</v>
      </c>
    </row>
    <row r="44" spans="2:11">
      <c r="B44" s="53" t="s">
        <v>58</v>
      </c>
      <c r="C44" s="54">
        <v>119.6443</v>
      </c>
      <c r="D44" s="55">
        <v>7456.5766666666668</v>
      </c>
      <c r="E44" s="55">
        <v>6884.25</v>
      </c>
      <c r="F44" s="56">
        <v>0.10826965034064606</v>
      </c>
      <c r="G44" s="55">
        <f>'Fall 2023 P2 FON Calculation'!$E44*(1-'Fall 2023 P2 FON Calculation'!$F44)</f>
        <v>6138.8946596424075</v>
      </c>
      <c r="H44" s="57">
        <f t="shared" si="0"/>
        <v>-1317.6820070242593</v>
      </c>
      <c r="I44" s="58">
        <f t="shared" si="1"/>
        <v>-0.1767140694622947</v>
      </c>
      <c r="J44" s="59">
        <f t="shared" si="2"/>
        <v>-22</v>
      </c>
      <c r="K44" s="60">
        <f>'Fall 2023 P2 FON Calculation'!$C44+'Fall 2023 P2 FON Calculation'!$J44</f>
        <v>97.644300000000001</v>
      </c>
    </row>
    <row r="45" spans="2:11">
      <c r="B45" s="61" t="s">
        <v>59</v>
      </c>
      <c r="C45" s="62">
        <v>29.435300000000002</v>
      </c>
      <c r="D45" s="63">
        <v>2311.8648785628529</v>
      </c>
      <c r="E45" s="63">
        <v>2314.7409907201268</v>
      </c>
      <c r="F45" s="64">
        <v>0.10826963058187955</v>
      </c>
      <c r="G45" s="63">
        <f>'Fall 2023 P2 FON Calculation'!$E45*(1-'Fall 2023 P2 FON Calculation'!$F45)</f>
        <v>2064.1248387621249</v>
      </c>
      <c r="H45" s="65">
        <f t="shared" si="0"/>
        <v>-247.74003980072803</v>
      </c>
      <c r="I45" s="66">
        <f t="shared" si="1"/>
        <v>-0.1071602592772347</v>
      </c>
      <c r="J45" s="67">
        <f t="shared" si="2"/>
        <v>-4</v>
      </c>
      <c r="K45" s="68">
        <f>'Fall 2023 P2 FON Calculation'!$C45+'Fall 2023 P2 FON Calculation'!$J45</f>
        <v>25.435300000000002</v>
      </c>
    </row>
    <row r="46" spans="2:11">
      <c r="B46" s="53" t="s">
        <v>60</v>
      </c>
      <c r="C46" s="54">
        <v>304.1318</v>
      </c>
      <c r="D46" s="55">
        <v>17645.240000000002</v>
      </c>
      <c r="E46" s="55">
        <v>17645.240000000002</v>
      </c>
      <c r="F46" s="56">
        <v>0.10826964429965991</v>
      </c>
      <c r="G46" s="55">
        <f>'Fall 2023 P2 FON Calculation'!$E46*(1-'Fall 2023 P2 FON Calculation'!$F46)</f>
        <v>15734.79614161787</v>
      </c>
      <c r="H46" s="57">
        <f t="shared" si="0"/>
        <v>-1910.443858382132</v>
      </c>
      <c r="I46" s="58">
        <f t="shared" si="1"/>
        <v>-0.10826964429965996</v>
      </c>
      <c r="J46" s="59">
        <f t="shared" si="2"/>
        <v>-33</v>
      </c>
      <c r="K46" s="60">
        <f>'Fall 2023 P2 FON Calculation'!$C46+'Fall 2023 P2 FON Calculation'!$J46</f>
        <v>271.1318</v>
      </c>
    </row>
    <row r="47" spans="2:11">
      <c r="B47" s="61" t="s">
        <v>61</v>
      </c>
      <c r="C47" s="62">
        <v>467.36059999999998</v>
      </c>
      <c r="D47" s="63">
        <v>22828.7</v>
      </c>
      <c r="E47" s="63">
        <v>22828.7</v>
      </c>
      <c r="F47" s="64">
        <v>0.10826964592715982</v>
      </c>
      <c r="G47" s="63">
        <f>'Fall 2023 P2 FON Calculation'!$E47*(1-'Fall 2023 P2 FON Calculation'!$F47)</f>
        <v>20357.044734022646</v>
      </c>
      <c r="H47" s="65">
        <f t="shared" si="0"/>
        <v>-2471.6552659773552</v>
      </c>
      <c r="I47" s="66">
        <f t="shared" si="1"/>
        <v>-0.10826964592715989</v>
      </c>
      <c r="J47" s="67">
        <f t="shared" si="2"/>
        <v>-51</v>
      </c>
      <c r="K47" s="68">
        <f>'Fall 2023 P2 FON Calculation'!$C47+'Fall 2023 P2 FON Calculation'!$J47</f>
        <v>416.36059999999998</v>
      </c>
    </row>
    <row r="48" spans="2:11">
      <c r="B48" s="53" t="s">
        <v>62</v>
      </c>
      <c r="C48" s="54">
        <v>293.85899999999998</v>
      </c>
      <c r="D48" s="55">
        <v>15422.29</v>
      </c>
      <c r="E48" s="55">
        <v>15422.29</v>
      </c>
      <c r="F48" s="56">
        <v>0.10826964798771754</v>
      </c>
      <c r="G48" s="55">
        <f>'Fall 2023 P2 FON Calculation'!$E48*(1-'Fall 2023 P2 FON Calculation'!$F48)</f>
        <v>13752.524090535504</v>
      </c>
      <c r="H48" s="57">
        <f t="shared" si="0"/>
        <v>-1669.7659094644969</v>
      </c>
      <c r="I48" s="58">
        <f t="shared" si="1"/>
        <v>-0.10826964798771757</v>
      </c>
      <c r="J48" s="59">
        <f t="shared" si="2"/>
        <v>-32</v>
      </c>
      <c r="K48" s="60">
        <f>'Fall 2023 P2 FON Calculation'!$C48+'Fall 2023 P2 FON Calculation'!$J48</f>
        <v>261.85899999999998</v>
      </c>
    </row>
    <row r="49" spans="2:11">
      <c r="B49" s="61" t="s">
        <v>63</v>
      </c>
      <c r="C49" s="62">
        <v>365.36529999999999</v>
      </c>
      <c r="D49" s="63">
        <v>20292.846666666668</v>
      </c>
      <c r="E49" s="63">
        <v>19037.726666666669</v>
      </c>
      <c r="F49" s="64">
        <v>0.10826964769954228</v>
      </c>
      <c r="G49" s="63">
        <f>'Fall 2023 P2 FON Calculation'!$E49*(1-'Fall 2023 P2 FON Calculation'!$F49)</f>
        <v>16976.518707466486</v>
      </c>
      <c r="H49" s="65">
        <f t="shared" si="0"/>
        <v>-3316.3279592001818</v>
      </c>
      <c r="I49" s="66">
        <f t="shared" si="1"/>
        <v>-0.16342349664759609</v>
      </c>
      <c r="J49" s="67">
        <f t="shared" si="2"/>
        <v>-60</v>
      </c>
      <c r="K49" s="68">
        <f>'Fall 2023 P2 FON Calculation'!$C49+'Fall 2023 P2 FON Calculation'!$J49</f>
        <v>305.36529999999999</v>
      </c>
    </row>
    <row r="50" spans="2:11">
      <c r="B50" s="53" t="s">
        <v>64</v>
      </c>
      <c r="C50" s="54">
        <v>65.157499999999999</v>
      </c>
      <c r="D50" s="55">
        <v>3643.7899999999995</v>
      </c>
      <c r="E50" s="55">
        <v>3643.7899999999995</v>
      </c>
      <c r="F50" s="56">
        <v>0.10826964011161289</v>
      </c>
      <c r="G50" s="55">
        <f>'Fall 2023 P2 FON Calculation'!$E50*(1-'Fall 2023 P2 FON Calculation'!$F50)</f>
        <v>3249.2781680577054</v>
      </c>
      <c r="H50" s="57">
        <f t="shared" si="0"/>
        <v>-394.51183194229407</v>
      </c>
      <c r="I50" s="58">
        <f t="shared" si="1"/>
        <v>-0.10826964011161294</v>
      </c>
      <c r="J50" s="59">
        <f t="shared" si="2"/>
        <v>-8</v>
      </c>
      <c r="K50" s="60">
        <f>'Fall 2023 P2 FON Calculation'!$C50+'Fall 2023 P2 FON Calculation'!$J50</f>
        <v>57.157499999999999</v>
      </c>
    </row>
    <row r="51" spans="2:11">
      <c r="B51" s="61" t="s">
        <v>65</v>
      </c>
      <c r="C51" s="62">
        <v>238.8244</v>
      </c>
      <c r="D51" s="63">
        <v>12748.15</v>
      </c>
      <c r="E51" s="63">
        <v>12748.15</v>
      </c>
      <c r="F51" s="64">
        <v>0.10826964420964724</v>
      </c>
      <c r="G51" s="63">
        <f>'Fall 2023 P2 FON Calculation'!$E51*(1-'Fall 2023 P2 FON Calculation'!$F51)</f>
        <v>11367.912335168785</v>
      </c>
      <c r="H51" s="65">
        <f t="shared" si="0"/>
        <v>-1380.2376648312147</v>
      </c>
      <c r="I51" s="66">
        <f t="shared" si="1"/>
        <v>-0.10826964420964726</v>
      </c>
      <c r="J51" s="67">
        <f t="shared" si="2"/>
        <v>-26</v>
      </c>
      <c r="K51" s="68">
        <f>'Fall 2023 P2 FON Calculation'!$C51+'Fall 2023 P2 FON Calculation'!$J51</f>
        <v>212.8244</v>
      </c>
    </row>
    <row r="52" spans="2:11">
      <c r="B52" s="53" t="s">
        <v>66</v>
      </c>
      <c r="C52" s="54">
        <v>474.35449999999997</v>
      </c>
      <c r="D52" s="55">
        <v>30428.134889849149</v>
      </c>
      <c r="E52" s="55">
        <v>30428.134889849149</v>
      </c>
      <c r="F52" s="56">
        <v>0.10826964772130698</v>
      </c>
      <c r="G52" s="55">
        <f>'Fall 2023 P2 FON Calculation'!$E52*(1-'Fall 2023 P2 FON Calculation'!$F52)</f>
        <v>27133.691444508771</v>
      </c>
      <c r="H52" s="57">
        <f t="shared" si="0"/>
        <v>-3294.4434453403774</v>
      </c>
      <c r="I52" s="58">
        <f t="shared" si="1"/>
        <v>-0.10826964772130698</v>
      </c>
      <c r="J52" s="59">
        <f t="shared" si="2"/>
        <v>-52</v>
      </c>
      <c r="K52" s="60">
        <f>'Fall 2023 P2 FON Calculation'!$C52+'Fall 2023 P2 FON Calculation'!$J52</f>
        <v>422.35449999999997</v>
      </c>
    </row>
    <row r="53" spans="2:11">
      <c r="B53" s="61" t="s">
        <v>67</v>
      </c>
      <c r="C53" s="62">
        <v>250.38229999999999</v>
      </c>
      <c r="D53" s="63">
        <v>14512.234089602916</v>
      </c>
      <c r="E53" s="63">
        <v>14503.901512539165</v>
      </c>
      <c r="F53" s="64">
        <v>0.10826965016771728</v>
      </c>
      <c r="G53" s="63">
        <f>'Fall 2023 P2 FON Calculation'!$E53*(1-'Fall 2023 P2 FON Calculation'!$F53)</f>
        <v>12933.569169709524</v>
      </c>
      <c r="H53" s="65">
        <f t="shared" si="0"/>
        <v>-1578.6649198933919</v>
      </c>
      <c r="I53" s="66">
        <f t="shared" si="1"/>
        <v>-0.10878166036643551</v>
      </c>
      <c r="J53" s="67">
        <f t="shared" si="2"/>
        <v>-28</v>
      </c>
      <c r="K53" s="68">
        <f>'Fall 2023 P2 FON Calculation'!$C53+'Fall 2023 P2 FON Calculation'!$J53</f>
        <v>222.38229999999999</v>
      </c>
    </row>
    <row r="54" spans="2:11">
      <c r="B54" s="53" t="s">
        <v>68</v>
      </c>
      <c r="C54" s="54">
        <v>549.00289999999995</v>
      </c>
      <c r="D54" s="55">
        <v>31016.780000000002</v>
      </c>
      <c r="E54" s="55">
        <v>31016.780000000002</v>
      </c>
      <c r="F54" s="56">
        <v>0.10826964908242909</v>
      </c>
      <c r="G54" s="55">
        <f>'Fall 2023 P2 FON Calculation'!$E54*(1-'Fall 2023 P2 FON Calculation'!$F54)</f>
        <v>27658.604113733098</v>
      </c>
      <c r="H54" s="57">
        <f t="shared" si="0"/>
        <v>-3358.1758862669049</v>
      </c>
      <c r="I54" s="58">
        <f t="shared" si="1"/>
        <v>-0.10826964908242907</v>
      </c>
      <c r="J54" s="59">
        <f t="shared" si="2"/>
        <v>-60</v>
      </c>
      <c r="K54" s="60">
        <f>'Fall 2023 P2 FON Calculation'!$C54+'Fall 2023 P2 FON Calculation'!$J54</f>
        <v>489.00289999999995</v>
      </c>
    </row>
    <row r="55" spans="2:11">
      <c r="B55" s="61" t="s">
        <v>69</v>
      </c>
      <c r="C55" s="62">
        <v>206.06739999999999</v>
      </c>
      <c r="D55" s="63">
        <v>14729.15</v>
      </c>
      <c r="E55" s="63">
        <v>13086.073333333332</v>
      </c>
      <c r="F55" s="64">
        <v>0.10826964838592312</v>
      </c>
      <c r="G55" s="63">
        <f>'Fall 2023 P2 FON Calculation'!$E55*(1-'Fall 2023 P2 FON Calculation'!$F55)</f>
        <v>11669.248774780926</v>
      </c>
      <c r="H55" s="65">
        <f t="shared" si="0"/>
        <v>-3059.9012252190732</v>
      </c>
      <c r="I55" s="66">
        <f t="shared" si="1"/>
        <v>-0.20774458982487606</v>
      </c>
      <c r="J55" s="67">
        <f t="shared" si="2"/>
        <v>-43</v>
      </c>
      <c r="K55" s="68">
        <f>'Fall 2023 P2 FON Calculation'!$C55+'Fall 2023 P2 FON Calculation'!$J55</f>
        <v>163.06739999999999</v>
      </c>
    </row>
    <row r="56" spans="2:11">
      <c r="B56" s="53" t="s">
        <v>70</v>
      </c>
      <c r="C56" s="54">
        <v>263.05119999999999</v>
      </c>
      <c r="D56" s="55">
        <v>16281.518267414607</v>
      </c>
      <c r="E56" s="55">
        <v>16281.518267414607</v>
      </c>
      <c r="F56" s="56">
        <v>0.10826964847358478</v>
      </c>
      <c r="G56" s="55">
        <f>'Fall 2023 P2 FON Calculation'!$E56*(1-'Fall 2023 P2 FON Calculation'!$F56)</f>
        <v>14518.724007985378</v>
      </c>
      <c r="H56" s="57">
        <f t="shared" si="0"/>
        <v>-1762.794259429229</v>
      </c>
      <c r="I56" s="58">
        <f t="shared" si="1"/>
        <v>-0.10826964847358481</v>
      </c>
      <c r="J56" s="59">
        <f t="shared" si="2"/>
        <v>-29</v>
      </c>
      <c r="K56" s="60">
        <f>'Fall 2023 P2 FON Calculation'!$C56+'Fall 2023 P2 FON Calculation'!$J56</f>
        <v>234.05119999999999</v>
      </c>
    </row>
    <row r="57" spans="2:11">
      <c r="B57" s="61" t="s">
        <v>71</v>
      </c>
      <c r="C57" s="62">
        <v>212.82929999999999</v>
      </c>
      <c r="D57" s="63">
        <v>12266.83</v>
      </c>
      <c r="E57" s="63">
        <v>11087.506666666668</v>
      </c>
      <c r="F57" s="64">
        <v>0.10827000000000001</v>
      </c>
      <c r="G57" s="63">
        <f>'Fall 2023 P2 FON Calculation'!$E57*(1-'Fall 2023 P2 FON Calculation'!$F57)</f>
        <v>9887.062319866669</v>
      </c>
      <c r="H57" s="65">
        <f t="shared" si="0"/>
        <v>-2379.7676801333309</v>
      </c>
      <c r="I57" s="66">
        <f t="shared" si="1"/>
        <v>-0.19400021685580798</v>
      </c>
      <c r="J57" s="67">
        <f t="shared" si="2"/>
        <v>-42</v>
      </c>
      <c r="K57" s="68">
        <f>'Fall 2023 P2 FON Calculation'!$C57+'Fall 2023 P2 FON Calculation'!$J57</f>
        <v>170.82929999999999</v>
      </c>
    </row>
    <row r="58" spans="2:11">
      <c r="B58" s="53" t="s">
        <v>72</v>
      </c>
      <c r="C58" s="54">
        <v>133.1765</v>
      </c>
      <c r="D58" s="55">
        <v>7617.05</v>
      </c>
      <c r="E58" s="55">
        <v>7617.05</v>
      </c>
      <c r="F58" s="56">
        <v>0.10826965160025126</v>
      </c>
      <c r="G58" s="55">
        <f>'Fall 2023 P2 FON Calculation'!$E58*(1-'Fall 2023 P2 FON Calculation'!$F58)</f>
        <v>6792.3546502783065</v>
      </c>
      <c r="H58" s="57">
        <f t="shared" si="0"/>
        <v>-824.69534972169367</v>
      </c>
      <c r="I58" s="58">
        <f t="shared" si="1"/>
        <v>-0.10826965160025123</v>
      </c>
      <c r="J58" s="59">
        <f t="shared" si="2"/>
        <v>-15</v>
      </c>
      <c r="K58" s="60">
        <f>'Fall 2023 P2 FON Calculation'!$C58+'Fall 2023 P2 FON Calculation'!$J58</f>
        <v>118.1765</v>
      </c>
    </row>
    <row r="59" spans="2:11">
      <c r="B59" s="61" t="s">
        <v>73</v>
      </c>
      <c r="C59" s="62">
        <v>269.73450000000003</v>
      </c>
      <c r="D59" s="63">
        <v>13822.773333333334</v>
      </c>
      <c r="E59" s="63">
        <v>12887.44</v>
      </c>
      <c r="F59" s="64">
        <v>0.10827000000000001</v>
      </c>
      <c r="G59" s="63">
        <f>'Fall 2023 P2 FON Calculation'!$E59*(1-'Fall 2023 P2 FON Calculation'!$F59)</f>
        <v>11492.1168712</v>
      </c>
      <c r="H59" s="65">
        <f t="shared" si="0"/>
        <v>-2330.6564621333346</v>
      </c>
      <c r="I59" s="66">
        <f t="shared" si="1"/>
        <v>-0.16860990236402157</v>
      </c>
      <c r="J59" s="67">
        <f t="shared" si="2"/>
        <v>-46</v>
      </c>
      <c r="K59" s="68">
        <f>'Fall 2023 P2 FON Calculation'!$C59+'Fall 2023 P2 FON Calculation'!$J59</f>
        <v>223.73450000000003</v>
      </c>
    </row>
    <row r="60" spans="2:11">
      <c r="B60" s="53" t="s">
        <v>74</v>
      </c>
      <c r="C60" s="54">
        <v>222.14959999999999</v>
      </c>
      <c r="D60" s="55">
        <v>11263.729980400085</v>
      </c>
      <c r="E60" s="55">
        <v>11263.73</v>
      </c>
      <c r="F60" s="56">
        <v>0.10826964761521263</v>
      </c>
      <c r="G60" s="55">
        <f>'Fall 2023 P2 FON Calculation'!$E60*(1-'Fall 2023 P2 FON Calculation'!$F60)</f>
        <v>10044.209922067101</v>
      </c>
      <c r="H60" s="57">
        <f t="shared" si="0"/>
        <v>-1219.5200583329843</v>
      </c>
      <c r="I60" s="58">
        <f t="shared" si="1"/>
        <v>-0.10826964606352071</v>
      </c>
      <c r="J60" s="59">
        <f t="shared" si="2"/>
        <v>-25</v>
      </c>
      <c r="K60" s="60">
        <f>'Fall 2023 P2 FON Calculation'!$C60+'Fall 2023 P2 FON Calculation'!$J60</f>
        <v>197.14959999999999</v>
      </c>
    </row>
    <row r="61" spans="2:11">
      <c r="B61" s="61" t="s">
        <v>75</v>
      </c>
      <c r="C61" s="62">
        <v>237.6576</v>
      </c>
      <c r="D61" s="63">
        <v>15923.388160339313</v>
      </c>
      <c r="E61" s="63">
        <v>15923.388160339313</v>
      </c>
      <c r="F61" s="64">
        <v>0.108269651389166</v>
      </c>
      <c r="G61" s="63">
        <f>'Fall 2023 P2 FON Calculation'!$E61*(1-'Fall 2023 P2 FON Calculation'!$F61)</f>
        <v>14199.368475285002</v>
      </c>
      <c r="H61" s="65">
        <f t="shared" si="0"/>
        <v>-1724.0196850543107</v>
      </c>
      <c r="I61" s="66">
        <f t="shared" si="1"/>
        <v>-0.108269651389166</v>
      </c>
      <c r="J61" s="67">
        <f t="shared" si="2"/>
        <v>-26</v>
      </c>
      <c r="K61" s="68">
        <f>'Fall 2023 P2 FON Calculation'!$C61+'Fall 2023 P2 FON Calculation'!$J61</f>
        <v>211.6576</v>
      </c>
    </row>
    <row r="62" spans="2:11">
      <c r="B62" s="53" t="s">
        <v>76</v>
      </c>
      <c r="C62" s="54">
        <v>290.58</v>
      </c>
      <c r="D62" s="55">
        <v>19736.37</v>
      </c>
      <c r="E62" s="55">
        <v>18738.946666666663</v>
      </c>
      <c r="F62" s="56">
        <v>0.10826964567886233</v>
      </c>
      <c r="G62" s="55">
        <f>'Fall 2023 P2 FON Calculation'!$E62*(1-'Fall 2023 P2 FON Calculation'!$F62)</f>
        <v>16710.087550671564</v>
      </c>
      <c r="H62" s="57">
        <f t="shared" si="0"/>
        <v>-3026.2824493284352</v>
      </c>
      <c r="I62" s="58">
        <f t="shared" si="1"/>
        <v>-0.15333531187996757</v>
      </c>
      <c r="J62" s="59">
        <f t="shared" si="2"/>
        <v>-45</v>
      </c>
      <c r="K62" s="60">
        <f>'Fall 2023 P2 FON Calculation'!$C62+'Fall 2023 P2 FON Calculation'!$J62</f>
        <v>245.57999999999998</v>
      </c>
    </row>
    <row r="63" spans="2:11">
      <c r="B63" s="61" t="s">
        <v>77</v>
      </c>
      <c r="C63" s="62">
        <v>219.28219999999999</v>
      </c>
      <c r="D63" s="63">
        <v>9780.3870994116041</v>
      </c>
      <c r="E63" s="63">
        <v>9780.3870994116041</v>
      </c>
      <c r="F63" s="64">
        <v>0.10826964873167588</v>
      </c>
      <c r="G63" s="63">
        <f>'Fall 2023 P2 FON Calculation'!$E63*(1-'Fall 2023 P2 FON Calculation'!$F63)</f>
        <v>8721.468023698495</v>
      </c>
      <c r="H63" s="65">
        <f t="shared" si="0"/>
        <v>-1058.9190757131091</v>
      </c>
      <c r="I63" s="66">
        <f t="shared" si="1"/>
        <v>-0.10826964873167592</v>
      </c>
      <c r="J63" s="67">
        <f t="shared" si="2"/>
        <v>-24</v>
      </c>
      <c r="K63" s="68">
        <f>'Fall 2023 P2 FON Calculation'!$C63+'Fall 2023 P2 FON Calculation'!$J63</f>
        <v>195.28219999999999</v>
      </c>
    </row>
    <row r="64" spans="2:11">
      <c r="B64" s="53" t="s">
        <v>78</v>
      </c>
      <c r="C64" s="54">
        <v>126.30240000000001</v>
      </c>
      <c r="D64" s="55">
        <v>6893.8599679154868</v>
      </c>
      <c r="E64" s="55">
        <v>6893.8599679154868</v>
      </c>
      <c r="F64" s="56">
        <v>0.10826963953037561</v>
      </c>
      <c r="G64" s="55">
        <f>'Fall 2023 P2 FON Calculation'!$E64*(1-'Fall 2023 P2 FON Calculation'!$F64)</f>
        <v>6147.4642342163907</v>
      </c>
      <c r="H64" s="57">
        <f t="shared" si="0"/>
        <v>-746.39573369909613</v>
      </c>
      <c r="I64" s="58">
        <f t="shared" si="1"/>
        <v>-0.10826963953037555</v>
      </c>
      <c r="J64" s="59">
        <f t="shared" si="2"/>
        <v>-14</v>
      </c>
      <c r="K64" s="60">
        <f>'Fall 2023 P2 FON Calculation'!$C64+'Fall 2023 P2 FON Calculation'!$J64</f>
        <v>112.30240000000001</v>
      </c>
    </row>
    <row r="65" spans="2:11">
      <c r="B65" s="61" t="s">
        <v>79</v>
      </c>
      <c r="C65" s="62">
        <v>220.73349999999999</v>
      </c>
      <c r="D65" s="63">
        <v>13967.59</v>
      </c>
      <c r="E65" s="63">
        <v>13571.400000000001</v>
      </c>
      <c r="F65" s="64">
        <v>0.10827000000000001</v>
      </c>
      <c r="G65" s="63">
        <f>'Fall 2023 P2 FON Calculation'!$E65*(1-'Fall 2023 P2 FON Calculation'!$F65)</f>
        <v>12102.024522000002</v>
      </c>
      <c r="H65" s="65">
        <f t="shared" si="0"/>
        <v>-1865.5654779999986</v>
      </c>
      <c r="I65" s="66">
        <f t="shared" si="1"/>
        <v>-0.13356387737612563</v>
      </c>
      <c r="J65" s="67">
        <f t="shared" si="2"/>
        <v>-30</v>
      </c>
      <c r="K65" s="68">
        <f>'Fall 2023 P2 FON Calculation'!$C65+'Fall 2023 P2 FON Calculation'!$J65</f>
        <v>190.73349999999999</v>
      </c>
    </row>
    <row r="66" spans="2:11">
      <c r="B66" s="53" t="s">
        <v>80</v>
      </c>
      <c r="C66" s="54">
        <v>25.056600000000003</v>
      </c>
      <c r="D66" s="55">
        <v>1510.55</v>
      </c>
      <c r="E66" s="55">
        <v>1510.55</v>
      </c>
      <c r="F66" s="56">
        <v>0.10826963376357923</v>
      </c>
      <c r="G66" s="55">
        <f>'Fall 2023 P2 FON Calculation'!$E66*(1-'Fall 2023 P2 FON Calculation'!$F66)</f>
        <v>1347.0033047184254</v>
      </c>
      <c r="H66" s="57">
        <f t="shared" si="0"/>
        <v>-163.54669528157456</v>
      </c>
      <c r="I66" s="58">
        <f t="shared" si="1"/>
        <v>-0.1082696337635792</v>
      </c>
      <c r="J66" s="59">
        <f t="shared" si="2"/>
        <v>-3</v>
      </c>
      <c r="K66" s="60">
        <f>'Fall 2023 P2 FON Calculation'!$C66+'Fall 2023 P2 FON Calculation'!$J66</f>
        <v>22.056600000000003</v>
      </c>
    </row>
    <row r="67" spans="2:11">
      <c r="B67" s="61" t="s">
        <v>81</v>
      </c>
      <c r="C67" s="62">
        <v>136.7518</v>
      </c>
      <c r="D67" s="63">
        <v>7029.06</v>
      </c>
      <c r="E67" s="63">
        <v>6854.5966666666673</v>
      </c>
      <c r="F67" s="64">
        <v>0.1082696414047204</v>
      </c>
      <c r="G67" s="63">
        <f>'Fall 2023 P2 FON Calculation'!$E67*(1-'Fall 2023 P2 FON Calculation'!$F67)</f>
        <v>6112.4519435926759</v>
      </c>
      <c r="H67" s="65">
        <f t="shared" si="0"/>
        <v>-916.60805640732451</v>
      </c>
      <c r="I67" s="66">
        <f t="shared" si="1"/>
        <v>-0.13040265076800089</v>
      </c>
      <c r="J67" s="67">
        <f t="shared" si="2"/>
        <v>-18</v>
      </c>
      <c r="K67" s="68">
        <f>'Fall 2023 P2 FON Calculation'!$C67+'Fall 2023 P2 FON Calculation'!$J67</f>
        <v>118.7518</v>
      </c>
    </row>
    <row r="68" spans="2:11">
      <c r="B68" s="53" t="s">
        <v>82</v>
      </c>
      <c r="C68" s="54">
        <v>308.63409999999999</v>
      </c>
      <c r="D68" s="55">
        <v>16174.083333333332</v>
      </c>
      <c r="E68" s="55">
        <v>16247.183333333332</v>
      </c>
      <c r="F68" s="56">
        <v>0.10826964820040796</v>
      </c>
      <c r="G68" s="55">
        <f>'Fall 2023 P2 FON Calculation'!$E68*(1-'Fall 2023 P2 FON Calculation'!$F68)</f>
        <v>14488.106509585801</v>
      </c>
      <c r="H68" s="57">
        <f t="shared" si="0"/>
        <v>-1685.9768237475309</v>
      </c>
      <c r="I68" s="58">
        <f t="shared" si="1"/>
        <v>-0.1042394050408337</v>
      </c>
      <c r="J68" s="59">
        <f t="shared" si="2"/>
        <v>-33</v>
      </c>
      <c r="K68" s="60">
        <f>'Fall 2023 P2 FON Calculation'!$C68+'Fall 2023 P2 FON Calculation'!$J68</f>
        <v>275.63409999999999</v>
      </c>
    </row>
    <row r="69" spans="2:11">
      <c r="B69" s="61" t="s">
        <v>83</v>
      </c>
      <c r="C69" s="62">
        <v>417.79559999999998</v>
      </c>
      <c r="D69" s="63">
        <v>23354.62</v>
      </c>
      <c r="E69" s="63">
        <v>23354.62</v>
      </c>
      <c r="F69" s="64">
        <v>0.10827000000000001</v>
      </c>
      <c r="G69" s="63">
        <f>'Fall 2023 P2 FON Calculation'!$E69*(1-'Fall 2023 P2 FON Calculation'!$F69)</f>
        <v>20826.015292600001</v>
      </c>
      <c r="H69" s="65">
        <f t="shared" si="0"/>
        <v>-2528.604707399998</v>
      </c>
      <c r="I69" s="66">
        <f t="shared" si="1"/>
        <v>-0.10826999999999992</v>
      </c>
      <c r="J69" s="67">
        <f t="shared" si="2"/>
        <v>-46</v>
      </c>
      <c r="K69" s="68">
        <f>'Fall 2023 P2 FON Calculation'!$C69+'Fall 2023 P2 FON Calculation'!$J69</f>
        <v>371.79559999999998</v>
      </c>
    </row>
    <row r="70" spans="2:11">
      <c r="B70" s="53" t="s">
        <v>84</v>
      </c>
      <c r="C70" s="54">
        <v>276.16680000000002</v>
      </c>
      <c r="D70" s="55">
        <v>14908.499999999998</v>
      </c>
      <c r="E70" s="55">
        <v>14908.499999999998</v>
      </c>
      <c r="F70" s="56">
        <v>0.10826964869565303</v>
      </c>
      <c r="G70" s="55">
        <f>'Fall 2023 P2 FON Calculation'!$E70*(1-'Fall 2023 P2 FON Calculation'!$F70)</f>
        <v>13294.361942420855</v>
      </c>
      <c r="H70" s="57">
        <f t="shared" si="0"/>
        <v>-1614.1380575791427</v>
      </c>
      <c r="I70" s="58">
        <f t="shared" si="1"/>
        <v>-0.108269648695653</v>
      </c>
      <c r="J70" s="59">
        <f t="shared" si="2"/>
        <v>-30</v>
      </c>
      <c r="K70" s="60">
        <f>'Fall 2023 P2 FON Calculation'!$C70+'Fall 2023 P2 FON Calculation'!$J70</f>
        <v>246.16680000000002</v>
      </c>
    </row>
    <row r="71" spans="2:11">
      <c r="B71" s="61" t="s">
        <v>85</v>
      </c>
      <c r="C71" s="62">
        <v>635.25130000000001</v>
      </c>
      <c r="D71" s="63">
        <v>31368.675592262534</v>
      </c>
      <c r="E71" s="63">
        <v>31368.675592262534</v>
      </c>
      <c r="F71" s="64">
        <v>0.10826964931992533</v>
      </c>
      <c r="G71" s="63">
        <f>'Fall 2023 P2 FON Calculation'!$E71*(1-'Fall 2023 P2 FON Calculation'!$F71)</f>
        <v>27972.40008625777</v>
      </c>
      <c r="H71" s="65">
        <f t="shared" si="0"/>
        <v>-3396.2755060047639</v>
      </c>
      <c r="I71" s="66">
        <f t="shared" ref="I71:I78" si="3">H71/D71</f>
        <v>-0.10826964931992528</v>
      </c>
      <c r="J71" s="67">
        <f t="shared" si="2"/>
        <v>-69</v>
      </c>
      <c r="K71" s="68">
        <f>'Fall 2023 P2 FON Calculation'!$C71+'Fall 2023 P2 FON Calculation'!$J71</f>
        <v>566.25130000000001</v>
      </c>
    </row>
    <row r="72" spans="2:11">
      <c r="B72" s="53" t="s">
        <v>86</v>
      </c>
      <c r="C72" s="54">
        <v>450.83260000000001</v>
      </c>
      <c r="D72" s="55">
        <v>25558.040000000005</v>
      </c>
      <c r="E72" s="55">
        <v>25558.040000000005</v>
      </c>
      <c r="F72" s="56">
        <v>0.10826964758434277</v>
      </c>
      <c r="G72" s="55">
        <f>'Fall 2023 P2 FON Calculation'!$E72*(1-'Fall 2023 P2 FON Calculation'!$F72)</f>
        <v>22790.880016253468</v>
      </c>
      <c r="H72" s="57">
        <f t="shared" ref="H72:H78" si="4">G72-D72</f>
        <v>-2767.1599837465365</v>
      </c>
      <c r="I72" s="58">
        <f t="shared" si="3"/>
        <v>-0.10826964758434278</v>
      </c>
      <c r="J72" s="59">
        <f t="shared" ref="J72:J78" si="5">IF(C72*I72&gt;=0,ROUNDDOWN(C72*I72,0),ROUNDUP(C72*I72,0))</f>
        <v>-49</v>
      </c>
      <c r="K72" s="60">
        <f>'Fall 2023 P2 FON Calculation'!$C72+'Fall 2023 P2 FON Calculation'!$J72</f>
        <v>401.83260000000001</v>
      </c>
    </row>
    <row r="73" spans="2:11">
      <c r="B73" s="61" t="s">
        <v>87</v>
      </c>
      <c r="C73" s="62">
        <v>145.01429999999999</v>
      </c>
      <c r="D73" s="63">
        <v>9857.5797625975265</v>
      </c>
      <c r="E73" s="63">
        <v>9534.17</v>
      </c>
      <c r="F73" s="64">
        <v>0.1082696469945108</v>
      </c>
      <c r="G73" s="63">
        <f>'Fall 2023 P2 FON Calculation'!$E73*(1-'Fall 2023 P2 FON Calculation'!$F73)</f>
        <v>8501.9087797143457</v>
      </c>
      <c r="H73" s="65">
        <f t="shared" si="4"/>
        <v>-1355.6709828831808</v>
      </c>
      <c r="I73" s="66">
        <f t="shared" si="3"/>
        <v>-0.13752574318769237</v>
      </c>
      <c r="J73" s="67">
        <f t="shared" si="5"/>
        <v>-20</v>
      </c>
      <c r="K73" s="68">
        <f>'Fall 2023 P2 FON Calculation'!$C73+'Fall 2023 P2 FON Calculation'!$J73</f>
        <v>125.01429999999999</v>
      </c>
    </row>
    <row r="74" spans="2:11">
      <c r="B74" s="53" t="s">
        <v>88</v>
      </c>
      <c r="C74" s="54">
        <v>95.5732</v>
      </c>
      <c r="D74" s="55">
        <v>5422.66</v>
      </c>
      <c r="E74" s="55">
        <v>5422.66</v>
      </c>
      <c r="F74" s="56">
        <v>0.10826965528772103</v>
      </c>
      <c r="G74" s="55">
        <f>'Fall 2023 P2 FON Calculation'!$E74*(1-'Fall 2023 P2 FON Calculation'!$F74)</f>
        <v>4835.5504710574869</v>
      </c>
      <c r="H74" s="57">
        <f t="shared" si="4"/>
        <v>-587.10952894251295</v>
      </c>
      <c r="I74" s="58">
        <f t="shared" si="3"/>
        <v>-0.10826965528772096</v>
      </c>
      <c r="J74" s="59">
        <f t="shared" si="5"/>
        <v>-11</v>
      </c>
      <c r="K74" s="60">
        <f>'Fall 2023 P2 FON Calculation'!$C74+'Fall 2023 P2 FON Calculation'!$J74</f>
        <v>84.5732</v>
      </c>
    </row>
    <row r="75" spans="2:11">
      <c r="B75" s="61" t="s">
        <v>89</v>
      </c>
      <c r="C75" s="62">
        <v>64.719899999999996</v>
      </c>
      <c r="D75" s="63">
        <v>2868.2293910232038</v>
      </c>
      <c r="E75" s="63">
        <v>2868.2293910232038</v>
      </c>
      <c r="F75" s="64">
        <v>0.10826965135057731</v>
      </c>
      <c r="G75" s="63">
        <f>'Fall 2023 P2 FON Calculation'!$E75*(1-'Fall 2023 P2 FON Calculation'!$F75)</f>
        <v>2557.6871948636426</v>
      </c>
      <c r="H75" s="65">
        <f t="shared" si="4"/>
        <v>-310.54219615956117</v>
      </c>
      <c r="I75" s="66">
        <f t="shared" si="3"/>
        <v>-0.10826965135057738</v>
      </c>
      <c r="J75" s="67">
        <f t="shared" si="5"/>
        <v>-8</v>
      </c>
      <c r="K75" s="68">
        <f>'Fall 2023 P2 FON Calculation'!$C75+'Fall 2023 P2 FON Calculation'!$J75</f>
        <v>56.719899999999996</v>
      </c>
    </row>
    <row r="76" spans="2:11">
      <c r="B76" s="53" t="s">
        <v>90</v>
      </c>
      <c r="C76" s="54">
        <v>218.1437</v>
      </c>
      <c r="D76" s="55">
        <v>10369.439999999999</v>
      </c>
      <c r="E76" s="55">
        <v>9846.4233333333323</v>
      </c>
      <c r="F76" s="56">
        <v>0.10827000000000001</v>
      </c>
      <c r="G76" s="55">
        <f>'Fall 2023 P2 FON Calculation'!$E76*(1-'Fall 2023 P2 FON Calculation'!$F76)</f>
        <v>8780.351079033333</v>
      </c>
      <c r="H76" s="57">
        <f t="shared" si="4"/>
        <v>-1589.0889209666657</v>
      </c>
      <c r="I76" s="58">
        <f t="shared" si="3"/>
        <v>-0.15324732299590585</v>
      </c>
      <c r="J76" s="59">
        <f t="shared" si="5"/>
        <v>-34</v>
      </c>
      <c r="K76" s="60">
        <f>'Fall 2023 P2 FON Calculation'!$C76+'Fall 2023 P2 FON Calculation'!$J76</f>
        <v>184.1437</v>
      </c>
    </row>
    <row r="77" spans="2:11">
      <c r="B77" s="61" t="s">
        <v>91</v>
      </c>
      <c r="C77" s="62">
        <v>309.23689999999999</v>
      </c>
      <c r="D77" s="63">
        <v>15894.47</v>
      </c>
      <c r="E77" s="63">
        <v>15894.47</v>
      </c>
      <c r="F77" s="64">
        <v>0.10826965024816759</v>
      </c>
      <c r="G77" s="63">
        <f>'Fall 2023 P2 FON Calculation'!$E77*(1-'Fall 2023 P2 FON Calculation'!$F77)</f>
        <v>14173.581292220008</v>
      </c>
      <c r="H77" s="65">
        <f t="shared" si="4"/>
        <v>-1720.8887077799918</v>
      </c>
      <c r="I77" s="66">
        <f>H77/D77</f>
        <v>-0.10826965024816756</v>
      </c>
      <c r="J77" s="67">
        <f t="shared" si="5"/>
        <v>-34</v>
      </c>
      <c r="K77" s="68">
        <f>'Fall 2023 P2 FON Calculation'!$C77+'Fall 2023 P2 FON Calculation'!$J77</f>
        <v>275.23689999999999</v>
      </c>
    </row>
    <row r="78" spans="2:11" ht="15.75" thickBot="1">
      <c r="B78" s="53" t="s">
        <v>92</v>
      </c>
      <c r="C78" s="54">
        <v>106.10639999999999</v>
      </c>
      <c r="D78" s="55">
        <v>7409.3</v>
      </c>
      <c r="E78" s="55">
        <v>7409.3</v>
      </c>
      <c r="F78" s="56">
        <v>0.10826965104780972</v>
      </c>
      <c r="G78" s="55">
        <f>'Fall 2023 P2 FON Calculation'!$E78*(1-'Fall 2023 P2 FON Calculation'!$F78)</f>
        <v>6607.0976744914633</v>
      </c>
      <c r="H78" s="57">
        <f t="shared" si="4"/>
        <v>-802.20232550853689</v>
      </c>
      <c r="I78" s="58">
        <f t="shared" si="3"/>
        <v>-0.10826965104780976</v>
      </c>
      <c r="J78" s="59">
        <f t="shared" si="5"/>
        <v>-12</v>
      </c>
      <c r="K78" s="60">
        <f>'Fall 2023 P2 FON Calculation'!$C78+'Fall 2023 P2 FON Calculation'!$J78</f>
        <v>94.106399999999994</v>
      </c>
    </row>
    <row r="79" spans="2:11" ht="16.5" thickTop="1" thickBot="1">
      <c r="B79" s="69" t="s">
        <v>93</v>
      </c>
      <c r="C79" s="70">
        <f>SUBTOTAL(109,'Fall 2023 P2 FON Calculation'!$C$7:$C$78)</f>
        <v>18541.251999999993</v>
      </c>
      <c r="D79" s="71">
        <f>SUBTOTAL(109,'Fall 2023 P2 FON Calculation'!$D$7:$D$78)</f>
        <v>1039585.2704837959</v>
      </c>
      <c r="E79" s="71">
        <f>SUBTOTAL(109,'Fall 2023 P2 FON Calculation'!$E$7:$E$78)</f>
        <v>1028226.2922774461</v>
      </c>
      <c r="F79" s="72">
        <v>0.10827000000000001</v>
      </c>
      <c r="G79" s="71">
        <f>SUBTOTAL(109,'Fall 2023 P2 FON Calculation'!$G$7:$G$78)</f>
        <v>916900.56322645594</v>
      </c>
      <c r="H79" s="73">
        <f>SUBTOTAL(109,'Fall 2023 P2 FON Calculation'!$H$7:$H$78)</f>
        <v>-122684.70725733951</v>
      </c>
      <c r="I79" s="74">
        <f>H79/D79</f>
        <v>-0.11801312575373951</v>
      </c>
      <c r="J79" s="73">
        <f>SUBTOTAL(109,'Fall 2023 P2 FON Calculation'!$J$7:$J$78)</f>
        <v>-2214</v>
      </c>
      <c r="K79" s="75">
        <f>SUBTOTAL(109,'Fall 2023 P2 FON Calculation'!$K$7:$K$78)</f>
        <v>16327.251999999997</v>
      </c>
    </row>
    <row r="81" spans="1:11">
      <c r="A81" s="14" t="s">
        <v>121</v>
      </c>
      <c r="B81" s="14">
        <v>1</v>
      </c>
      <c r="C81" s="14">
        <v>2</v>
      </c>
      <c r="D81" s="14">
        <v>3</v>
      </c>
      <c r="E81" s="14">
        <v>4</v>
      </c>
      <c r="F81" s="14">
        <v>5</v>
      </c>
      <c r="G81" s="14">
        <v>6</v>
      </c>
      <c r="H81" s="14">
        <v>7</v>
      </c>
      <c r="I81" s="14">
        <v>8</v>
      </c>
      <c r="J81" s="14">
        <v>9</v>
      </c>
      <c r="K81" s="14">
        <v>10</v>
      </c>
    </row>
    <row r="84" spans="1:11">
      <c r="D84" s="28"/>
      <c r="E84" s="28"/>
    </row>
  </sheetData>
  <autoFilter ref="B6:K78" xr:uid="{82644E28-2BC5-47B7-9626-042B666D6115}"/>
  <pageMargins left="0.45" right="0" top="0.5" bottom="0.5" header="0.3" footer="0.3"/>
  <pageSetup scale="63" orientation="landscape" r:id="rId1"/>
  <headerFooter>
    <oddFooter>&amp;R&amp;D</oddFooter>
  </headerFooter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89BA-0FE2-4DCF-9DD4-9084CA82A0C2}">
  <dimension ref="A1:K24"/>
  <sheetViews>
    <sheetView showGridLines="0" workbookViewId="0">
      <selection activeCell="C5" sqref="C5"/>
    </sheetView>
  </sheetViews>
  <sheetFormatPr defaultColWidth="9.140625" defaultRowHeight="15"/>
  <cols>
    <col min="1" max="1" width="2.42578125" style="112" customWidth="1"/>
    <col min="2" max="2" width="14.85546875" style="112" customWidth="1"/>
    <col min="3" max="3" width="38.85546875" style="112" bestFit="1" customWidth="1"/>
    <col min="4" max="4" width="14.5703125" style="112" customWidth="1"/>
    <col min="5" max="5" width="4.140625" style="112" customWidth="1"/>
    <col min="6" max="16384" width="9.140625" style="112"/>
  </cols>
  <sheetData>
    <row r="1" spans="1:11" ht="25.15" customHeight="1">
      <c r="A1" s="18" t="s">
        <v>0</v>
      </c>
      <c r="B1" s="1"/>
      <c r="C1" s="1"/>
      <c r="D1" s="116"/>
    </row>
    <row r="2" spans="1:11" ht="25.15" customHeight="1">
      <c r="A2" s="18" t="s">
        <v>2</v>
      </c>
      <c r="B2" s="116"/>
      <c r="C2" s="116"/>
      <c r="D2" s="116"/>
    </row>
    <row r="3" spans="1:11" ht="25.15" customHeight="1" thickBot="1">
      <c r="A3" s="18" t="s">
        <v>215</v>
      </c>
      <c r="B3" s="116"/>
      <c r="C3" s="116"/>
      <c r="D3" s="116"/>
    </row>
    <row r="4" spans="1:11" ht="19.5" thickBot="1">
      <c r="A4" s="116"/>
      <c r="B4" s="117"/>
      <c r="C4" s="118"/>
      <c r="D4" s="136"/>
      <c r="F4" s="113"/>
      <c r="G4" s="113"/>
      <c r="H4" s="113"/>
      <c r="I4" s="113"/>
      <c r="J4" s="113"/>
      <c r="K4" s="113"/>
    </row>
    <row r="5" spans="1:11" ht="30" customHeight="1" thickBot="1">
      <c r="A5" s="116"/>
      <c r="B5" s="119" t="s">
        <v>20</v>
      </c>
      <c r="C5" s="135"/>
      <c r="D5" s="120"/>
      <c r="E5" s="111" t="s">
        <v>154</v>
      </c>
      <c r="F5" s="114" t="s">
        <v>155</v>
      </c>
      <c r="G5" s="113"/>
      <c r="H5" s="113"/>
      <c r="I5" s="113"/>
      <c r="J5" s="113"/>
      <c r="K5" s="113"/>
    </row>
    <row r="6" spans="1:11" ht="15.75">
      <c r="A6" s="116"/>
      <c r="B6" s="121" t="s">
        <v>96</v>
      </c>
      <c r="C6" s="137"/>
      <c r="D6" s="120"/>
      <c r="F6" s="114"/>
      <c r="G6" s="113"/>
      <c r="H6" s="113"/>
      <c r="I6" s="113"/>
      <c r="J6" s="113"/>
      <c r="K6" s="113"/>
    </row>
    <row r="7" spans="1:11" ht="15.75">
      <c r="A7" s="116"/>
      <c r="B7" s="122"/>
      <c r="C7" s="137" t="s">
        <v>216</v>
      </c>
      <c r="D7" s="123"/>
      <c r="E7" s="111" t="s">
        <v>154</v>
      </c>
      <c r="F7" s="114" t="s">
        <v>212</v>
      </c>
      <c r="G7" s="113"/>
      <c r="H7" s="113"/>
      <c r="I7" s="113"/>
      <c r="J7" s="113"/>
      <c r="K7" s="113"/>
    </row>
    <row r="8" spans="1:11" ht="15.75">
      <c r="A8" s="116"/>
      <c r="B8" s="122"/>
      <c r="C8" s="137" t="s">
        <v>14</v>
      </c>
      <c r="D8" s="124">
        <v>0</v>
      </c>
      <c r="E8" s="111" t="s">
        <v>154</v>
      </c>
      <c r="F8" s="114" t="s">
        <v>213</v>
      </c>
      <c r="G8" s="113"/>
      <c r="H8" s="113"/>
      <c r="I8" s="113"/>
      <c r="J8" s="113"/>
      <c r="K8" s="113"/>
    </row>
    <row r="9" spans="1:11" ht="15.75">
      <c r="A9" s="116"/>
      <c r="B9" s="122"/>
      <c r="C9" s="137"/>
      <c r="D9" s="120"/>
      <c r="F9" s="114"/>
      <c r="G9" s="113"/>
      <c r="H9" s="113"/>
      <c r="I9" s="113"/>
      <c r="J9" s="113"/>
      <c r="K9" s="113"/>
    </row>
    <row r="10" spans="1:11" ht="15.75">
      <c r="A10" s="116"/>
      <c r="B10" s="122"/>
      <c r="C10" s="137"/>
      <c r="D10" s="120"/>
      <c r="F10" s="114"/>
      <c r="G10" s="113"/>
      <c r="H10" s="113"/>
      <c r="I10" s="113"/>
      <c r="J10" s="113"/>
      <c r="K10" s="113"/>
    </row>
    <row r="11" spans="1:11" ht="15.75">
      <c r="A11" s="116"/>
      <c r="B11" s="121" t="s">
        <v>214</v>
      </c>
      <c r="C11" s="137"/>
      <c r="D11" s="120"/>
      <c r="F11" s="114"/>
      <c r="G11" s="113"/>
      <c r="H11" s="113"/>
      <c r="I11" s="113"/>
      <c r="J11" s="113"/>
      <c r="K11" s="113"/>
    </row>
    <row r="12" spans="1:11" ht="15.75">
      <c r="A12" s="116"/>
      <c r="B12" s="121"/>
      <c r="C12" s="137"/>
      <c r="D12" s="120"/>
      <c r="F12" s="114"/>
      <c r="G12" s="113"/>
      <c r="H12" s="113"/>
      <c r="I12" s="113"/>
      <c r="J12" s="113"/>
      <c r="K12" s="113"/>
    </row>
    <row r="13" spans="1:11" ht="15.75">
      <c r="A13" s="116"/>
      <c r="B13" s="125" t="s">
        <v>97</v>
      </c>
      <c r="C13" s="137" t="s">
        <v>98</v>
      </c>
      <c r="D13" s="126">
        <f>SUMIF('Fall 2023 P2 FON Calculation'!$B$7:$B$78,'FON Estimator'!$C$5,'Fall 2023 P2 FON Calculation'!$C$7:$C$78)</f>
        <v>0</v>
      </c>
      <c r="E13" s="134" t="s">
        <v>152</v>
      </c>
      <c r="F13" s="114" t="s">
        <v>211</v>
      </c>
      <c r="G13" s="113"/>
      <c r="H13" s="113"/>
      <c r="I13" s="113"/>
      <c r="J13" s="113"/>
      <c r="K13" s="113"/>
    </row>
    <row r="14" spans="1:11" ht="15.75">
      <c r="A14" s="116"/>
      <c r="B14" s="125" t="s">
        <v>99</v>
      </c>
      <c r="C14" s="137" t="s">
        <v>100</v>
      </c>
      <c r="D14" s="127">
        <f>SUMIF('Fall 2023 P2 FON Calculation'!$B$7:$B$78,'FON Estimator'!$C$5,'Fall 2023 P2 FON Calculation'!$D$7:$D$78)</f>
        <v>0</v>
      </c>
      <c r="E14" s="134" t="s">
        <v>152</v>
      </c>
      <c r="F14" s="114" t="s">
        <v>211</v>
      </c>
      <c r="G14" s="113"/>
      <c r="H14" s="113"/>
      <c r="I14" s="113"/>
      <c r="J14" s="113"/>
      <c r="K14" s="113"/>
    </row>
    <row r="15" spans="1:11" ht="15.75">
      <c r="A15" s="116"/>
      <c r="B15" s="125" t="s">
        <v>101</v>
      </c>
      <c r="C15" s="137" t="s">
        <v>102</v>
      </c>
      <c r="D15" s="127">
        <f>D7</f>
        <v>0</v>
      </c>
      <c r="E15" s="134" t="s">
        <v>152</v>
      </c>
      <c r="F15" s="114" t="s">
        <v>217</v>
      </c>
      <c r="G15" s="113"/>
      <c r="H15" s="113"/>
      <c r="I15" s="113"/>
      <c r="J15" s="113"/>
      <c r="K15" s="113"/>
    </row>
    <row r="16" spans="1:11" ht="15.75">
      <c r="A16" s="116"/>
      <c r="B16" s="125" t="s">
        <v>103</v>
      </c>
      <c r="C16" s="137" t="s">
        <v>104</v>
      </c>
      <c r="D16" s="128">
        <f>1-D8</f>
        <v>1</v>
      </c>
      <c r="E16" s="134" t="s">
        <v>152</v>
      </c>
      <c r="F16" s="114" t="s">
        <v>218</v>
      </c>
      <c r="G16" s="113"/>
      <c r="H16" s="113"/>
      <c r="I16" s="113"/>
      <c r="J16" s="113"/>
      <c r="K16" s="113"/>
    </row>
    <row r="17" spans="1:11" ht="15.75">
      <c r="A17" s="116"/>
      <c r="B17" s="125" t="s">
        <v>105</v>
      </c>
      <c r="C17" s="137" t="s">
        <v>106</v>
      </c>
      <c r="D17" s="129">
        <f>D15*D16</f>
        <v>0</v>
      </c>
      <c r="F17" s="114"/>
      <c r="G17" s="113"/>
      <c r="H17" s="113"/>
      <c r="I17" s="113"/>
      <c r="J17" s="113"/>
      <c r="K17" s="113"/>
    </row>
    <row r="18" spans="1:11" ht="15.75">
      <c r="A18" s="116"/>
      <c r="B18" s="125" t="s">
        <v>107</v>
      </c>
      <c r="C18" s="137" t="s">
        <v>108</v>
      </c>
      <c r="D18" s="129">
        <f>D17-D14</f>
        <v>0</v>
      </c>
      <c r="F18" s="114"/>
      <c r="G18" s="113"/>
      <c r="H18" s="113"/>
      <c r="I18" s="113"/>
      <c r="J18" s="113"/>
      <c r="K18" s="113"/>
    </row>
    <row r="19" spans="1:11" ht="15.75">
      <c r="A19" s="116"/>
      <c r="B19" s="125" t="s">
        <v>109</v>
      </c>
      <c r="C19" s="137" t="s">
        <v>110</v>
      </c>
      <c r="D19" s="130" t="e">
        <f>D18/D14</f>
        <v>#DIV/0!</v>
      </c>
      <c r="F19" s="114"/>
      <c r="G19" s="113"/>
      <c r="H19" s="113"/>
      <c r="I19" s="113"/>
      <c r="J19" s="113"/>
      <c r="K19" s="113"/>
    </row>
    <row r="20" spans="1:11" ht="15.75">
      <c r="A20" s="116"/>
      <c r="B20" s="125" t="s">
        <v>111</v>
      </c>
      <c r="C20" s="137" t="s">
        <v>112</v>
      </c>
      <c r="D20" s="131" t="e">
        <f>IF(D13*D19&gt;=0,ROUNDDOWN(D13*D19,0),ROUNDUP(D13*D19,0))</f>
        <v>#DIV/0!</v>
      </c>
      <c r="F20" s="115"/>
      <c r="G20" s="113"/>
      <c r="H20" s="113"/>
      <c r="I20" s="113"/>
      <c r="J20" s="113"/>
      <c r="K20" s="113"/>
    </row>
    <row r="21" spans="1:11" ht="15.75">
      <c r="A21" s="116"/>
      <c r="B21" s="125" t="s">
        <v>120</v>
      </c>
      <c r="C21" s="137" t="s">
        <v>219</v>
      </c>
      <c r="D21" s="126" t="e">
        <f>D13+D20</f>
        <v>#DIV/0!</v>
      </c>
      <c r="E21" s="134"/>
      <c r="F21" s="114"/>
      <c r="G21" s="113"/>
      <c r="H21" s="113"/>
      <c r="I21" s="113"/>
      <c r="J21" s="113"/>
      <c r="K21" s="113"/>
    </row>
    <row r="22" spans="1:11" ht="16.5" customHeight="1" thickBot="1">
      <c r="A22" s="116"/>
      <c r="B22" s="132"/>
      <c r="C22" s="133"/>
      <c r="D22" s="138"/>
      <c r="E22" s="134"/>
      <c r="F22" s="114"/>
      <c r="G22" s="113"/>
      <c r="H22" s="113"/>
      <c r="I22" s="113"/>
      <c r="J22" s="113"/>
      <c r="K22" s="113"/>
    </row>
    <row r="23" spans="1:11">
      <c r="A23" s="116"/>
      <c r="B23" s="116"/>
      <c r="C23" s="116"/>
      <c r="D23" s="116"/>
    </row>
    <row r="24" spans="1:11">
      <c r="A24" s="116"/>
      <c r="B24" s="116"/>
      <c r="C24" s="116"/>
      <c r="D24" s="116"/>
      <c r="E24" s="113"/>
      <c r="F24" s="113"/>
      <c r="G24" s="113"/>
      <c r="H24" s="113"/>
      <c r="I24" s="113"/>
      <c r="J24" s="113"/>
      <c r="K24" s="113"/>
    </row>
  </sheetData>
  <pageMargins left="0.7" right="0.7" top="0.75" bottom="0.75" header="0.3" footer="0.3"/>
  <pageSetup orientation="portrait" r:id="rId1"/>
  <headerFooter>
    <oddFooter>&amp;R&amp;D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hoose a District" prompt="Choose your district to estimate your Fall 2023_x000a_" xr:uid="{BFA63C9B-C0F0-466E-B14C-37F5AF8C160A}">
          <x14:formula1>
            <xm:f>'Fall 2023 P2 FON Calculation'!$B$7:$B$78</xm:f>
          </x14:formula1>
          <xm:sqref>C5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CA03E-2B8B-4FC9-A1E6-4C93D86B0E5B}">
  <dimension ref="A1:G48"/>
  <sheetViews>
    <sheetView showGridLines="0" zoomScale="130" zoomScaleNormal="130" workbookViewId="0">
      <selection activeCell="A12" sqref="A12:B12"/>
    </sheetView>
  </sheetViews>
  <sheetFormatPr defaultRowHeight="15"/>
  <cols>
    <col min="1" max="1" width="12.140625" style="77" customWidth="1"/>
    <col min="2" max="2" width="21.42578125" customWidth="1"/>
    <col min="3" max="3" width="18" customWidth="1"/>
    <col min="4" max="4" width="10.85546875" bestFit="1" customWidth="1"/>
    <col min="5" max="5" width="11.85546875" bestFit="1" customWidth="1"/>
    <col min="6" max="6" width="10.85546875" customWidth="1"/>
    <col min="7" max="7" width="20.5703125" customWidth="1"/>
    <col min="8" max="8" width="1.85546875" customWidth="1"/>
  </cols>
  <sheetData>
    <row r="1" spans="1:7" s="18" customFormat="1" ht="19.5">
      <c r="A1" s="18" t="s">
        <v>0</v>
      </c>
    </row>
    <row r="2" spans="1:7" s="18" customFormat="1" ht="19.5">
      <c r="A2" s="18" t="s">
        <v>209</v>
      </c>
    </row>
    <row r="3" spans="1:7" ht="5.0999999999999996" customHeight="1">
      <c r="A3" s="176"/>
      <c r="B3" s="176"/>
      <c r="C3" s="176"/>
      <c r="D3" s="176"/>
      <c r="E3" s="176"/>
      <c r="F3" s="176"/>
      <c r="G3" s="176"/>
    </row>
    <row r="4" spans="1:7">
      <c r="A4" s="177" t="s">
        <v>208</v>
      </c>
      <c r="B4" s="177"/>
      <c r="C4" s="177"/>
      <c r="D4" s="177"/>
      <c r="E4" s="177"/>
      <c r="F4" s="177"/>
      <c r="G4" s="177"/>
    </row>
    <row r="5" spans="1:7" ht="14.25" customHeight="1">
      <c r="A5" s="110" t="s">
        <v>207</v>
      </c>
      <c r="B5" s="178" t="s">
        <v>206</v>
      </c>
      <c r="C5" s="178"/>
      <c r="D5" s="178"/>
      <c r="E5" s="178"/>
      <c r="F5" s="178"/>
      <c r="G5" s="178"/>
    </row>
    <row r="6" spans="1:7" ht="34.35" customHeight="1" thickBot="1">
      <c r="A6" s="108" t="s">
        <v>196</v>
      </c>
      <c r="B6" s="178" t="s">
        <v>205</v>
      </c>
      <c r="C6" s="178"/>
      <c r="D6" s="178"/>
      <c r="E6" s="178"/>
      <c r="F6" s="178"/>
      <c r="G6" s="178"/>
    </row>
    <row r="7" spans="1:7">
      <c r="A7" s="179" t="s">
        <v>204</v>
      </c>
      <c r="B7" s="180"/>
      <c r="C7" s="180"/>
      <c r="D7" s="180"/>
      <c r="E7" s="180"/>
      <c r="F7" s="180"/>
      <c r="G7" s="181"/>
    </row>
    <row r="8" spans="1:7" ht="28.5" customHeight="1">
      <c r="A8" s="171" t="s">
        <v>201</v>
      </c>
      <c r="B8" s="172"/>
      <c r="C8" s="172" t="s">
        <v>203</v>
      </c>
      <c r="D8" s="172"/>
      <c r="E8" s="172"/>
      <c r="F8" s="172"/>
      <c r="G8" s="173"/>
    </row>
    <row r="9" spans="1:7" ht="28.5" customHeight="1" thickBot="1">
      <c r="A9" s="174" t="s">
        <v>199</v>
      </c>
      <c r="B9" s="175"/>
      <c r="C9" s="175" t="s">
        <v>210</v>
      </c>
      <c r="D9" s="175"/>
      <c r="E9" s="175"/>
      <c r="F9" s="175"/>
      <c r="G9" s="185"/>
    </row>
    <row r="10" spans="1:7" s="105" customFormat="1">
      <c r="A10" s="179" t="s">
        <v>202</v>
      </c>
      <c r="B10" s="180"/>
      <c r="C10" s="180"/>
      <c r="D10" s="180"/>
      <c r="E10" s="180"/>
      <c r="F10" s="180"/>
      <c r="G10" s="181"/>
    </row>
    <row r="11" spans="1:7" ht="28.5" customHeight="1">
      <c r="A11" s="171" t="s">
        <v>201</v>
      </c>
      <c r="B11" s="172"/>
      <c r="C11" s="186" t="s">
        <v>200</v>
      </c>
      <c r="D11" s="186"/>
      <c r="E11" s="186"/>
      <c r="F11" s="186"/>
      <c r="G11" s="187"/>
    </row>
    <row r="12" spans="1:7" ht="28.5" customHeight="1" thickBot="1">
      <c r="A12" s="174" t="s">
        <v>199</v>
      </c>
      <c r="B12" s="175"/>
      <c r="C12" s="175" t="s">
        <v>210</v>
      </c>
      <c r="D12" s="175"/>
      <c r="E12" s="175"/>
      <c r="F12" s="175"/>
      <c r="G12" s="185"/>
    </row>
    <row r="13" spans="1:7" ht="42.75" customHeight="1">
      <c r="A13" s="109" t="s">
        <v>198</v>
      </c>
      <c r="B13" s="188" t="s">
        <v>197</v>
      </c>
      <c r="C13" s="188"/>
      <c r="D13" s="188"/>
      <c r="E13" s="188"/>
      <c r="F13" s="188"/>
      <c r="G13" s="188"/>
    </row>
    <row r="14" spans="1:7" ht="59.25" customHeight="1">
      <c r="A14" s="108" t="s">
        <v>196</v>
      </c>
      <c r="B14" s="178" t="s">
        <v>195</v>
      </c>
      <c r="C14" s="178"/>
      <c r="D14" s="178"/>
      <c r="E14" s="178"/>
      <c r="F14" s="178"/>
      <c r="G14" s="178"/>
    </row>
    <row r="15" spans="1:7" ht="28.5" customHeight="1">
      <c r="A15" s="182" t="s">
        <v>194</v>
      </c>
      <c r="B15" s="182"/>
      <c r="C15" s="182"/>
      <c r="D15" s="182"/>
      <c r="E15" s="182"/>
      <c r="F15" s="182"/>
      <c r="G15" s="182"/>
    </row>
    <row r="16" spans="1:7">
      <c r="A16" s="100"/>
      <c r="B16" s="105" t="s">
        <v>193</v>
      </c>
    </row>
    <row r="17" spans="1:7">
      <c r="A17" s="99" t="s">
        <v>175</v>
      </c>
      <c r="B17" s="107">
        <v>114630</v>
      </c>
      <c r="C17" t="s">
        <v>192</v>
      </c>
    </row>
    <row r="18" spans="1:7">
      <c r="A18" s="100" t="s">
        <v>174</v>
      </c>
      <c r="B18" s="97">
        <f>B17*0.25</f>
        <v>28657.5</v>
      </c>
      <c r="C18" t="s">
        <v>191</v>
      </c>
    </row>
    <row r="19" spans="1:7">
      <c r="B19" s="101">
        <f>B17+B18</f>
        <v>143287.5</v>
      </c>
      <c r="C19" t="s">
        <v>190</v>
      </c>
    </row>
    <row r="20" spans="1:7" ht="5.0999999999999996" customHeight="1">
      <c r="B20" s="106"/>
    </row>
    <row r="21" spans="1:7">
      <c r="A21" s="100"/>
      <c r="B21" s="105" t="s">
        <v>189</v>
      </c>
    </row>
    <row r="22" spans="1:7" ht="32.25" customHeight="1">
      <c r="B22" s="104">
        <v>87.33</v>
      </c>
      <c r="C22" s="183" t="s">
        <v>188</v>
      </c>
      <c r="D22" s="178"/>
      <c r="E22" s="178"/>
      <c r="F22" s="178"/>
      <c r="G22" s="178"/>
    </row>
    <row r="23" spans="1:7">
      <c r="C23" t="s">
        <v>187</v>
      </c>
    </row>
    <row r="24" spans="1:7">
      <c r="A24" s="99" t="s">
        <v>173</v>
      </c>
      <c r="B24" s="97">
        <f>15*35*B22</f>
        <v>45848.25</v>
      </c>
      <c r="C24" t="s">
        <v>186</v>
      </c>
    </row>
    <row r="25" spans="1:7" ht="5.0999999999999996" customHeight="1">
      <c r="A25" s="100"/>
    </row>
    <row r="26" spans="1:7">
      <c r="A26" s="100"/>
      <c r="C26" t="s">
        <v>185</v>
      </c>
    </row>
    <row r="27" spans="1:7">
      <c r="A27" s="100"/>
      <c r="B27" s="97">
        <f>$B$24*7.65%</f>
        <v>3507.3911250000001</v>
      </c>
      <c r="C27" t="s">
        <v>184</v>
      </c>
    </row>
    <row r="28" spans="1:7">
      <c r="A28" s="100"/>
      <c r="B28" s="103">
        <f>$B$24*1.5%</f>
        <v>687.72375</v>
      </c>
      <c r="C28" t="s">
        <v>183</v>
      </c>
    </row>
    <row r="29" spans="1:7">
      <c r="A29" s="100"/>
      <c r="B29" s="103">
        <f>$B$24*0.1%</f>
        <v>45.84825</v>
      </c>
      <c r="C29" t="s">
        <v>182</v>
      </c>
    </row>
    <row r="30" spans="1:7">
      <c r="A30" s="100"/>
      <c r="B30" s="102">
        <f>$B$24*1.5%</f>
        <v>687.72375</v>
      </c>
      <c r="C30" t="s">
        <v>181</v>
      </c>
    </row>
    <row r="31" spans="1:7">
      <c r="A31" s="100" t="s">
        <v>172</v>
      </c>
      <c r="B31" s="97">
        <f>SUM(B27:B30)</f>
        <v>4928.6868750000003</v>
      </c>
      <c r="C31" t="s">
        <v>180</v>
      </c>
    </row>
    <row r="32" spans="1:7">
      <c r="A32" s="100"/>
    </row>
    <row r="33" spans="1:7">
      <c r="A33" s="100"/>
      <c r="B33" s="101">
        <f>B31+B24</f>
        <v>50776.936874999999</v>
      </c>
      <c r="C33" t="s">
        <v>179</v>
      </c>
    </row>
    <row r="34" spans="1:7">
      <c r="A34" s="100"/>
    </row>
    <row r="35" spans="1:7" ht="15.75" thickBot="1">
      <c r="A35" s="99" t="s">
        <v>178</v>
      </c>
      <c r="B35" s="98">
        <f>ROUND(B19-B33,0)</f>
        <v>92511</v>
      </c>
      <c r="C35" t="s">
        <v>177</v>
      </c>
    </row>
    <row r="37" spans="1:7" ht="3.75" customHeight="1">
      <c r="B37" s="97"/>
    </row>
    <row r="38" spans="1:7">
      <c r="A38" s="184" t="s">
        <v>176</v>
      </c>
      <c r="B38" s="184"/>
      <c r="C38" s="184"/>
      <c r="D38" s="184"/>
      <c r="E38" s="184"/>
      <c r="F38" s="184"/>
      <c r="G38" s="184"/>
    </row>
    <row r="39" spans="1:7">
      <c r="C39" s="96" t="s">
        <v>175</v>
      </c>
      <c r="D39" s="96" t="s">
        <v>174</v>
      </c>
      <c r="E39" s="96" t="s">
        <v>173</v>
      </c>
      <c r="F39" s="96" t="s">
        <v>172</v>
      </c>
      <c r="G39" s="96" t="s">
        <v>171</v>
      </c>
    </row>
    <row r="40" spans="1:7" ht="45">
      <c r="A40" s="139" t="s">
        <v>222</v>
      </c>
      <c r="B40" s="95" t="s">
        <v>223</v>
      </c>
      <c r="C40" s="95" t="s">
        <v>170</v>
      </c>
      <c r="D40" s="93" t="s">
        <v>169</v>
      </c>
      <c r="E40" s="95" t="s">
        <v>168</v>
      </c>
      <c r="F40" s="94" t="s">
        <v>167</v>
      </c>
      <c r="G40" s="93" t="s">
        <v>220</v>
      </c>
    </row>
    <row r="41" spans="1:7">
      <c r="A41" s="92" t="s">
        <v>166</v>
      </c>
      <c r="B41" s="91" t="s">
        <v>165</v>
      </c>
      <c r="C41" s="90">
        <v>92277</v>
      </c>
      <c r="D41" s="90">
        <v>23069</v>
      </c>
      <c r="E41" s="90">
        <v>35338</v>
      </c>
      <c r="F41" s="89">
        <v>3799</v>
      </c>
      <c r="G41" s="88">
        <f t="shared" ref="G41:G48" si="0">(C41+D41)-(E41+F41)</f>
        <v>76209</v>
      </c>
    </row>
    <row r="42" spans="1:7">
      <c r="A42" s="87" t="s">
        <v>165</v>
      </c>
      <c r="B42" s="86" t="s">
        <v>164</v>
      </c>
      <c r="C42" s="85">
        <v>92617</v>
      </c>
      <c r="D42" s="85">
        <v>23154</v>
      </c>
      <c r="E42" s="85">
        <v>37690</v>
      </c>
      <c r="F42" s="84">
        <v>4052</v>
      </c>
      <c r="G42" s="83">
        <f t="shared" si="0"/>
        <v>74029</v>
      </c>
    </row>
    <row r="43" spans="1:7">
      <c r="A43" s="82" t="s">
        <v>164</v>
      </c>
      <c r="B43" s="81" t="s">
        <v>163</v>
      </c>
      <c r="C43" s="80">
        <v>96281</v>
      </c>
      <c r="D43" s="80">
        <v>24070</v>
      </c>
      <c r="E43" s="80">
        <v>39086</v>
      </c>
      <c r="F43" s="79">
        <v>4202</v>
      </c>
      <c r="G43" s="78">
        <f t="shared" si="0"/>
        <v>77063</v>
      </c>
    </row>
    <row r="44" spans="1:7">
      <c r="A44" s="87" t="s">
        <v>163</v>
      </c>
      <c r="B44" s="86" t="s">
        <v>162</v>
      </c>
      <c r="C44" s="85">
        <v>99300</v>
      </c>
      <c r="D44" s="85">
        <v>24825</v>
      </c>
      <c r="E44" s="85">
        <v>39617</v>
      </c>
      <c r="F44" s="84">
        <v>4258</v>
      </c>
      <c r="G44" s="83">
        <f t="shared" si="0"/>
        <v>80250</v>
      </c>
    </row>
    <row r="45" spans="1:7">
      <c r="A45" s="82" t="s">
        <v>162</v>
      </c>
      <c r="B45" s="81" t="s">
        <v>161</v>
      </c>
      <c r="C45" s="80">
        <v>102001</v>
      </c>
      <c r="D45" s="80">
        <v>25500</v>
      </c>
      <c r="E45" s="80">
        <v>40404</v>
      </c>
      <c r="F45" s="79">
        <v>4343</v>
      </c>
      <c r="G45" s="78">
        <f t="shared" si="0"/>
        <v>82754</v>
      </c>
    </row>
    <row r="46" spans="1:7">
      <c r="A46" s="87" t="s">
        <v>161</v>
      </c>
      <c r="B46" s="86" t="s">
        <v>160</v>
      </c>
      <c r="C46" s="85">
        <v>105033</v>
      </c>
      <c r="D46" s="85">
        <v>26258.25</v>
      </c>
      <c r="E46" s="85">
        <v>40199.25</v>
      </c>
      <c r="F46" s="84">
        <v>4321.4193749999995</v>
      </c>
      <c r="G46" s="83">
        <f t="shared" si="0"/>
        <v>86770.580625000002</v>
      </c>
    </row>
    <row r="47" spans="1:7">
      <c r="A47" s="82" t="s">
        <v>160</v>
      </c>
      <c r="B47" s="81" t="s">
        <v>221</v>
      </c>
      <c r="C47" s="80">
        <v>108347</v>
      </c>
      <c r="D47" s="80">
        <v>27086.75</v>
      </c>
      <c r="E47" s="80">
        <v>43596</v>
      </c>
      <c r="F47" s="79">
        <v>4686.57</v>
      </c>
      <c r="G47" s="78">
        <f t="shared" si="0"/>
        <v>87151.18</v>
      </c>
    </row>
    <row r="48" spans="1:7">
      <c r="A48" s="87" t="s">
        <v>221</v>
      </c>
      <c r="B48" s="86" t="s">
        <v>224</v>
      </c>
      <c r="C48" s="85">
        <f>B17</f>
        <v>114630</v>
      </c>
      <c r="D48" s="85">
        <f>B18</f>
        <v>28657.5</v>
      </c>
      <c r="E48" s="85">
        <f>B24</f>
        <v>45848.25</v>
      </c>
      <c r="F48" s="84">
        <f>B31</f>
        <v>4928.6868750000003</v>
      </c>
      <c r="G48" s="83">
        <f t="shared" si="0"/>
        <v>92510.563125000001</v>
      </c>
    </row>
  </sheetData>
  <mergeCells count="19">
    <mergeCell ref="A15:G15"/>
    <mergeCell ref="C22:G22"/>
    <mergeCell ref="A38:G38"/>
    <mergeCell ref="C9:G9"/>
    <mergeCell ref="A10:G10"/>
    <mergeCell ref="A11:B11"/>
    <mergeCell ref="C11:G11"/>
    <mergeCell ref="B13:G13"/>
    <mergeCell ref="B14:G14"/>
    <mergeCell ref="A12:B12"/>
    <mergeCell ref="C12:G12"/>
    <mergeCell ref="A8:B8"/>
    <mergeCell ref="C8:G8"/>
    <mergeCell ref="A9:B9"/>
    <mergeCell ref="A3:G3"/>
    <mergeCell ref="A4:G4"/>
    <mergeCell ref="B5:G5"/>
    <mergeCell ref="B6:G6"/>
    <mergeCell ref="A7:G7"/>
  </mergeCells>
  <printOptions horizontalCentered="1"/>
  <pageMargins left="0.7" right="0.7" top="0.75" bottom="0.75" header="0.3" footer="0.3"/>
  <pageSetup scale="85" orientation="portrait" r:id="rId1"/>
  <headerFooter>
    <oddFooter>&amp;LCalifornia Community Colleges Chancellor's Office&amp;R&amp;D</oddFooter>
  </headerFooter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Table of Contents</vt:lpstr>
      <vt:lpstr>Fall 2023 FON Compliance Form</vt:lpstr>
      <vt:lpstr>Fall 2023 Compliance FON</vt:lpstr>
      <vt:lpstr>Definitions</vt:lpstr>
      <vt:lpstr>Fall 2023 P2 FON Calculation</vt:lpstr>
      <vt:lpstr>FON Estimator</vt:lpstr>
      <vt:lpstr>ReplacementCost</vt:lpstr>
      <vt:lpstr>Fall2022ComplianceFON</vt:lpstr>
      <vt:lpstr>Fall2023P2</vt:lpstr>
      <vt:lpstr>'Fall 2023 Compliance FON'!Print_Area</vt:lpstr>
      <vt:lpstr>'Fall 2023 FON Compliance Form'!Print_Area</vt:lpstr>
      <vt:lpstr>'Fall 2023 P2 FON Calculation'!Print_Area</vt:lpstr>
      <vt:lpstr>'FON Estimator'!Print_Area</vt:lpstr>
      <vt:lpstr>ReplacementCost!Print_Area</vt:lpstr>
      <vt:lpstr>'Fall 2023 Compliance FON'!Print_Titles</vt:lpstr>
      <vt:lpstr>'Fall 2023 P2 FON Calculation'!Print_Titles</vt:lpstr>
      <vt:lpstr>ReplacementCost!Print_Titles</vt:lpstr>
    </vt:vector>
  </TitlesOfParts>
  <Company>CCCCO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Smallwood, Jubilee</dc:creator>
  <cp:lastModifiedBy>Anna Gonzalez</cp:lastModifiedBy>
  <cp:lastPrinted>2023-10-25T22:32:46Z</cp:lastPrinted>
  <dcterms:created xsi:type="dcterms:W3CDTF">2023-01-09T18:41:27Z</dcterms:created>
  <dcterms:modified xsi:type="dcterms:W3CDTF">2023-10-26T22:32:04Z</dcterms:modified>
</cp:coreProperties>
</file>